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18369CAB-BA00-4687-8CA7-30399C8A3D25}"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40" i="14" l="1"/>
  <c r="Q6" i="14"/>
  <c r="P40" i="14"/>
  <c r="O40" i="14"/>
  <c r="P6" i="14"/>
  <c r="O6" i="14"/>
  <c r="F166" i="1"/>
  <c r="E40" i="14"/>
  <c r="D40" i="14"/>
  <c r="E6" i="14"/>
  <c r="D6" i="14"/>
  <c r="N6" i="14"/>
  <c r="M6" i="14"/>
  <c r="L6" i="14"/>
  <c r="K6" i="14"/>
  <c r="K39" i="14"/>
  <c r="D39" i="14"/>
  <c r="F14" i="13"/>
  <c r="D9" i="13"/>
  <c r="C39" i="12"/>
  <c r="B39" i="12"/>
  <c r="C19" i="12"/>
  <c r="C21" i="12"/>
  <c r="C20" i="12"/>
  <c r="B20" i="12"/>
  <c r="B21" i="12"/>
  <c r="B19" i="12"/>
  <c r="C10" i="12"/>
  <c r="C12" i="12"/>
  <c r="B10" i="12"/>
  <c r="B12" i="12"/>
  <c r="B11" i="12"/>
  <c r="E13" i="17"/>
  <c r="E9" i="17"/>
  <c r="J605" i="1"/>
  <c r="H605" i="1"/>
  <c r="J592" i="1"/>
  <c r="H592" i="1"/>
  <c r="H581" i="1"/>
  <c r="H534" i="1"/>
  <c r="H532" i="1"/>
  <c r="H527" i="1"/>
  <c r="H524" i="1"/>
  <c r="H522" i="1"/>
  <c r="J529" i="1"/>
  <c r="K529" i="1"/>
  <c r="I529" i="1"/>
  <c r="H529" i="1"/>
  <c r="G529" i="1"/>
  <c r="F529" i="1"/>
  <c r="K524" i="1"/>
  <c r="I524" i="1"/>
  <c r="G524" i="1"/>
  <c r="F524" i="1"/>
  <c r="G542" i="1"/>
  <c r="J527" i="1"/>
  <c r="I527" i="1"/>
  <c r="G527" i="1"/>
  <c r="F527" i="1"/>
  <c r="K522" i="1"/>
  <c r="J522" i="1"/>
  <c r="I522" i="1"/>
  <c r="G522" i="1"/>
  <c r="F522" i="1"/>
  <c r="G473" i="1"/>
  <c r="G469" i="1"/>
  <c r="F473" i="1"/>
  <c r="F469" i="1"/>
  <c r="H400" i="1" l="1"/>
  <c r="H399" i="1"/>
  <c r="H397" i="1"/>
  <c r="H369" i="1"/>
  <c r="F369" i="1"/>
  <c r="H368" i="1"/>
  <c r="F368" i="1"/>
  <c r="J361" i="1"/>
  <c r="J359" i="1"/>
  <c r="I361" i="1"/>
  <c r="I359" i="1"/>
  <c r="H361" i="1"/>
  <c r="H359" i="1"/>
  <c r="H337" i="1"/>
  <c r="I282" i="1"/>
  <c r="H282" i="1"/>
  <c r="J277" i="1"/>
  <c r="I277" i="1"/>
  <c r="I287" i="1"/>
  <c r="K286" i="1"/>
  <c r="J284" i="1"/>
  <c r="K283" i="1"/>
  <c r="I283" i="1"/>
  <c r="H283" i="1"/>
  <c r="G283" i="1"/>
  <c r="F283" i="1"/>
  <c r="I280" i="1"/>
  <c r="H280" i="1"/>
  <c r="G280" i="1"/>
  <c r="F280" i="1"/>
  <c r="K278" i="1"/>
  <c r="J278" i="1"/>
  <c r="H278" i="1"/>
  <c r="G278" i="1"/>
  <c r="F278" i="1"/>
  <c r="H277" i="1"/>
  <c r="G277" i="1"/>
  <c r="F277" i="1"/>
  <c r="J246" i="1"/>
  <c r="I246" i="1"/>
  <c r="H246" i="1"/>
  <c r="K245" i="1"/>
  <c r="J245" i="1"/>
  <c r="I245" i="1"/>
  <c r="H245" i="1"/>
  <c r="G245" i="1"/>
  <c r="F245" i="1"/>
  <c r="K244" i="1"/>
  <c r="J244" i="1"/>
  <c r="I244" i="1"/>
  <c r="H244" i="1"/>
  <c r="G244" i="1"/>
  <c r="F244" i="1"/>
  <c r="K242" i="1"/>
  <c r="I242" i="1"/>
  <c r="H242" i="1"/>
  <c r="G242" i="1"/>
  <c r="F242" i="1"/>
  <c r="K241" i="1"/>
  <c r="I241" i="1"/>
  <c r="H241" i="1"/>
  <c r="G241" i="1"/>
  <c r="F241" i="1"/>
  <c r="K240" i="1"/>
  <c r="I240" i="1"/>
  <c r="H240" i="1"/>
  <c r="G240" i="1"/>
  <c r="F240" i="1"/>
  <c r="K239" i="1"/>
  <c r="I239" i="1"/>
  <c r="H239" i="1"/>
  <c r="G239" i="1"/>
  <c r="F239" i="1"/>
  <c r="K237" i="1"/>
  <c r="I237" i="1"/>
  <c r="H237" i="1"/>
  <c r="G237" i="1"/>
  <c r="F237" i="1"/>
  <c r="I235" i="1"/>
  <c r="H235" i="1"/>
  <c r="G235" i="1"/>
  <c r="F235" i="1"/>
  <c r="K234" i="1"/>
  <c r="J234" i="1"/>
  <c r="I234" i="1"/>
  <c r="H234" i="1"/>
  <c r="G234" i="1"/>
  <c r="F234" i="1"/>
  <c r="K201" i="1"/>
  <c r="I201" i="1"/>
  <c r="J210" i="1"/>
  <c r="I210" i="1"/>
  <c r="H210" i="1"/>
  <c r="K209" i="1"/>
  <c r="J209" i="1"/>
  <c r="I209" i="1"/>
  <c r="H209" i="1"/>
  <c r="G209" i="1"/>
  <c r="F209" i="1"/>
  <c r="K208" i="1"/>
  <c r="J208" i="1"/>
  <c r="I208" i="1"/>
  <c r="H208" i="1"/>
  <c r="G208" i="1"/>
  <c r="F208" i="1"/>
  <c r="I206" i="1"/>
  <c r="H206" i="1"/>
  <c r="G206" i="1"/>
  <c r="F206" i="1"/>
  <c r="K205" i="1"/>
  <c r="I205" i="1"/>
  <c r="H205" i="1"/>
  <c r="G205" i="1"/>
  <c r="F205" i="1"/>
  <c r="H204" i="1"/>
  <c r="G204" i="1"/>
  <c r="K204" i="1"/>
  <c r="I204" i="1"/>
  <c r="F204" i="1"/>
  <c r="K203" i="1"/>
  <c r="I203" i="1"/>
  <c r="H203" i="1"/>
  <c r="G203" i="1"/>
  <c r="F203" i="1"/>
  <c r="H201" i="1"/>
  <c r="G201" i="1"/>
  <c r="F201" i="1"/>
  <c r="K199" i="1"/>
  <c r="I199" i="1"/>
  <c r="H199" i="1"/>
  <c r="G199" i="1"/>
  <c r="F199" i="1"/>
  <c r="K198" i="1"/>
  <c r="I198" i="1"/>
  <c r="H198" i="1"/>
  <c r="G198" i="1"/>
  <c r="F198" i="1"/>
  <c r="H161" i="1"/>
  <c r="H159" i="1"/>
  <c r="H155" i="1"/>
  <c r="H154" i="1"/>
  <c r="H110" i="1"/>
  <c r="G158" i="1"/>
  <c r="H162" i="1"/>
  <c r="F109" i="1"/>
  <c r="H22" i="1"/>
  <c r="H30" i="1"/>
  <c r="H24" i="1"/>
  <c r="H13" i="1"/>
  <c r="G48" i="1"/>
  <c r="G35" i="1"/>
  <c r="G22" i="1"/>
  <c r="G30" i="1"/>
  <c r="G24" i="1"/>
  <c r="H12" i="1"/>
  <c r="F50" i="1"/>
  <c r="F28"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H401" i="1" l="1"/>
  <c r="I24" i="14"/>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E125" i="2" s="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H143" i="2" l="1"/>
  <c r="G409" i="1"/>
  <c r="H646" i="1" s="1"/>
  <c r="H73" i="2"/>
  <c r="J140" i="1"/>
  <c r="G663" i="1"/>
  <c r="E111" i="2"/>
  <c r="H22" i="2"/>
  <c r="H137" i="2"/>
  <c r="H25" i="2"/>
  <c r="H97" i="2"/>
  <c r="H87" i="2"/>
  <c r="H93" i="2"/>
  <c r="E120" i="2"/>
  <c r="F85" i="2"/>
  <c r="H140" i="1"/>
  <c r="C125" i="2"/>
  <c r="H125" i="2" s="1"/>
  <c r="E124" i="2"/>
  <c r="I409" i="1"/>
  <c r="J112" i="1"/>
  <c r="H135" i="2"/>
  <c r="H35" i="2"/>
  <c r="H13" i="2"/>
  <c r="H9" i="2"/>
  <c r="G62" i="2"/>
  <c r="G63" i="2" s="1"/>
  <c r="E13" i="13"/>
  <c r="C13" i="13" s="1"/>
  <c r="H30" i="2"/>
  <c r="H28" i="2"/>
  <c r="H17" i="2"/>
  <c r="H15" i="2"/>
  <c r="H59" i="2"/>
  <c r="H38" i="2"/>
  <c r="H43" i="2"/>
  <c r="H96" i="2"/>
  <c r="H80" i="2"/>
  <c r="H34" i="2"/>
  <c r="H29" i="2"/>
  <c r="H102" i="2"/>
  <c r="H89" i="2"/>
  <c r="H72" i="2"/>
  <c r="D18" i="13"/>
  <c r="C18" i="13" s="1"/>
  <c r="C12" i="10"/>
  <c r="H100" i="2"/>
  <c r="D144" i="2"/>
  <c r="H27" i="2"/>
  <c r="H24" i="2"/>
  <c r="H132" i="2"/>
  <c r="H36" i="2"/>
  <c r="H44" i="2"/>
  <c r="H48" i="2"/>
  <c r="H98" i="2"/>
  <c r="E112" i="2"/>
  <c r="H101" i="2"/>
  <c r="H99" i="2"/>
  <c r="H79" i="2"/>
  <c r="H76" i="2"/>
  <c r="H58" i="2"/>
  <c r="H113" i="2"/>
  <c r="J652" i="1"/>
  <c r="H477" i="1"/>
  <c r="H625" i="1" s="1"/>
  <c r="G477" i="1"/>
  <c r="H47" i="2"/>
  <c r="D29" i="13"/>
  <c r="C29" i="13" s="1"/>
  <c r="G662" i="1"/>
  <c r="D15" i="13"/>
  <c r="C15" i="13" s="1"/>
  <c r="C13" i="10"/>
  <c r="K36" i="14"/>
  <c r="K37" i="14" s="1"/>
  <c r="C120" i="2"/>
  <c r="C119" i="2"/>
  <c r="C112" i="2"/>
  <c r="K2" i="14"/>
  <c r="K3" i="14" s="1"/>
  <c r="E70" i="2"/>
  <c r="H69" i="2"/>
  <c r="D78" i="2"/>
  <c r="D81" i="2" s="1"/>
  <c r="H77" i="2"/>
  <c r="H61" i="2"/>
  <c r="H23" i="2"/>
  <c r="H8" i="2"/>
  <c r="H11"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L572" i="1" l="1"/>
  <c r="H57" i="2"/>
  <c r="H85" i="2"/>
  <c r="E144" i="2"/>
  <c r="H21" i="2"/>
  <c r="H123" i="2"/>
  <c r="H70" i="2"/>
  <c r="H114" i="2"/>
  <c r="D51" i="2"/>
  <c r="H120" i="2"/>
  <c r="H134" i="2"/>
  <c r="H16" i="2"/>
  <c r="H103" i="2"/>
  <c r="H122" i="2"/>
  <c r="H112" i="2"/>
  <c r="H42" i="2"/>
  <c r="D128" i="2"/>
  <c r="D145" i="2" s="1"/>
  <c r="H127" i="2"/>
  <c r="I662" i="1"/>
  <c r="I663" i="1"/>
  <c r="H119" i="2"/>
  <c r="H62" i="2"/>
  <c r="H91" i="2"/>
  <c r="C81" i="2"/>
  <c r="H81" i="2" s="1"/>
  <c r="H78" i="2"/>
  <c r="F194" i="1"/>
  <c r="G628" i="1" s="1"/>
  <c r="J628" i="1" s="1"/>
  <c r="H50" i="2"/>
  <c r="H31" i="2"/>
  <c r="E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<sst xmlns="http://schemas.openxmlformats.org/spreadsheetml/2006/main" count="6640" uniqueCount="1841">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</sst>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H667" sqref="H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1337</v>
      </c>
      <c r="B2">
        <f>INDEX('School Tables'!$AH$3:$AH$213,MATCH('DOE25'!A2,'School Tables'!$AJ$3:$AJ$213,0))</f>
        <v>437</v>
      </c>
      <c r="C2">
        <f>INDEX('School Tables'!$AI$3:$AI$213,MATCH('DOE25'!A2,'School Tables'!$AJ$3:$AJ$213,0))</f>
        <v>437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358832.58</v>
      </c>
      <c r="G9" s="18">
        <v>163138.51</v>
      </c>
      <c r="H9" s="18"/>
      <c r="I9" s="18"/>
      <c r="J9" s="13">
        <f>SUM(I440)</f>
        <v>635108.5</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226600.92</v>
      </c>
      <c r="G12" s="18"/>
      <c r="H12" s="18">
        <f>9710.07+671.52</f>
        <v>10381.59</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147941.74</v>
      </c>
      <c r="G13" s="18">
        <v>4203.7299999999996</v>
      </c>
      <c r="H13" s="18">
        <f>445.52+59577+31509.56</f>
        <v>91532.08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1104.5899999999999</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733375.24</v>
      </c>
      <c r="G19" s="38">
        <f>SUM(G9:G18)</f>
        <v>168446.83000000002</v>
      </c>
      <c r="H19" s="38">
        <f>SUM(H9:H18)</f>
        <v>101913.67</v>
      </c>
      <c r="I19" s="38">
        <f>SUM(I9:I18)</f>
        <v>0</v>
      </c>
      <c r="J19" s="38">
        <f>SUM(J9:J18)</f>
        <v>635108.5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f>148546.84</f>
        <v>148546.84</v>
      </c>
      <c r="H22" s="18">
        <f>445.52+59577+28413.15</f>
        <v>88435.67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137850.96</v>
      </c>
      <c r="G24" s="18">
        <f>4150.64+1816.68</f>
        <v>5967.3200000000006</v>
      </c>
      <c r="H24" s="18">
        <f>3079.01</f>
        <v>3079.01</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5993.95+458.55+695.61</f>
        <v>7148.11</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801.4</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f>6021.6</f>
        <v>6021.6</v>
      </c>
      <c r="H30" s="18">
        <f>9710.07+671.52+12.11+5.29</f>
        <v>10398.990000000002</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145800.46999999997</v>
      </c>
      <c r="G32" s="38">
        <f>SUM(G22:G31)</f>
        <v>160535.76</v>
      </c>
      <c r="H32" s="38">
        <f>SUM(H22:H31)</f>
        <v>101913.67</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f>1104.59</f>
        <v>1104.5899999999999</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144353.9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37295.22-30488.74</f>
        <v>6806.48</v>
      </c>
      <c r="H48" s="18"/>
      <c r="I48" s="18"/>
      <c r="J48" s="13">
        <f>SUM(I460)</f>
        <v>635108.5</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277881.81+165339.06</f>
        <v>443220.87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587574.77</v>
      </c>
      <c r="G51" s="38">
        <f>SUM(G35:G50)</f>
        <v>7911.07</v>
      </c>
      <c r="H51" s="38">
        <f>SUM(H35:H50)</f>
        <v>0</v>
      </c>
      <c r="I51" s="38">
        <f>SUM(I35:I50)</f>
        <v>0</v>
      </c>
      <c r="J51" s="38">
        <f>SUM(J35:J50)</f>
        <v>635108.5</v>
      </c>
      <c r="K51" s="42" t="s">
        <v>288</v>
      </c>
      <c r="L51" s="42" t="s">
        <v>288</v>
      </c>
      <c r="N51" s="130"/>
    </row>
    <row r="52" spans="1:14" s="3" customFormat="1" ht="12.2" customHeight="1" thickTop="1" x14ac:dyDescent="0.15">
      <c r="A52" s="35" t="s">
        <v>455</v>
      </c>
      <c r="B52" s="36" t="s">
        <v>289</v>
      </c>
      <c r="C52" s="6">
        <v>37</v>
      </c>
      <c r="D52" s="36" t="s">
        <v>653</v>
      </c>
      <c r="E52" s="36"/>
      <c r="F52" s="38">
        <f>F51+F32</f>
        <v>733375.24</v>
      </c>
      <c r="G52" s="38">
        <f>G51+G32</f>
        <v>168446.83000000002</v>
      </c>
      <c r="H52" s="38">
        <f>H51+H32</f>
        <v>101913.67</v>
      </c>
      <c r="I52" s="38">
        <f>I51+I32</f>
        <v>0</v>
      </c>
      <c r="J52" s="38">
        <f>J51+J32</f>
        <v>635108.5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2252708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2252708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492371.6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5154.28</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497525.88</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v>32895.760000000002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21247.119999999999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57206.53</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41785.22</v>
      </c>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f>17.98+9.85</f>
        <v>27.83</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359.25</v>
      </c>
      <c r="G110" s="18"/>
      <c r="H110" s="18">
        <f>32.64+487.89</f>
        <v>520.53</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99378.83</v>
      </c>
      <c r="G111" s="38">
        <f>SUM(G96:G110)</f>
        <v>21247.119999999999</v>
      </c>
      <c r="H111" s="38">
        <f>SUM(H96:H110)</f>
        <v>520.53</v>
      </c>
      <c r="I111" s="38">
        <f>SUM(I96:I110)</f>
        <v>0</v>
      </c>
      <c r="J111" s="38">
        <f>SUM(J96:J110)</f>
        <v>32895.760000000002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2849612.71</v>
      </c>
      <c r="G112" s="38">
        <f>G60+G111</f>
        <v>21247.119999999999</v>
      </c>
      <c r="H112" s="38">
        <f>H60+H79+H94+H111</f>
        <v>520.53</v>
      </c>
      <c r="I112" s="38">
        <f>I60+I111</f>
        <v>0</v>
      </c>
      <c r="J112" s="38">
        <f>J60+J111</f>
        <v>32895.760000000002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634370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v>7488.37</v>
      </c>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634370</v>
      </c>
      <c r="G121" s="38">
        <f>SUM(G117:G120)</f>
        <v>0</v>
      </c>
      <c r="H121" s="38">
        <f>SUM(H117:H120)</f>
        <v>7488.37</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1657.24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924.8</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187.35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2582.04</v>
      </c>
      <c r="G136" s="38">
        <f>SUM(G123:G135)</f>
        <v>187.35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636952.04</v>
      </c>
      <c r="G140" s="38">
        <f>G121+SUM(G136:G137)</f>
        <v>187.35</v>
      </c>
      <c r="H140" s="38">
        <f>H121+SUM(H136:H139)</f>
        <v>7488.37</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203.09+40595.88+30400</f>
        <v>71198.97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2392.83+706.55+472.5+6403.89+8163.75</f>
        <v>18139.52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19488.55+7115.53</f>
        <v>26604.079999999998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2586.67+1329.01+8985.48</f>
        <v>12901.16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3453.69+679.5</f>
        <v>4133.1900000000005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36779.7+96968.37</f>
        <v>133748.07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26604.079999999998</v>
      </c>
      <c r="H163" s="38">
        <f>SUM(H150:H162)</f>
        <v>240120.91000000003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f>4560.61</f>
        <v>4560.6099999999997</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4560.6099999999997</v>
      </c>
      <c r="G170" s="38">
        <f>G147+G163+SUM(G164:G169)</f>
        <v>26604.079999999998</v>
      </c>
      <c r="H170" s="38">
        <f>H147+H163+SUM(H164:H169)</f>
        <v>240120.91000000003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-4560.6099999999997</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-4560.6099999999997</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-4560.6099999999997</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3486564.75</v>
      </c>
      <c r="G194" s="38">
        <f>G112+G140+G170+G193</f>
        <v>48038.549999999996</v>
      </c>
      <c r="H194" s="38">
        <f>H112+H140+H170+H193</f>
        <v>248129.81000000003</v>
      </c>
      <c r="I194" s="38">
        <f>I112+I140+I170+I193</f>
        <v>0</v>
      </c>
      <c r="J194" s="38">
        <f>J112+J140+J193</f>
        <v>32895.760000000002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542231.52</f>
        <v>542231.52</v>
      </c>
      <c r="G198" s="18">
        <f>312158.5</f>
        <v>312158.5</v>
      </c>
      <c r="H198" s="18">
        <f>2676+973.47</f>
        <v>3649.4700000000003</v>
      </c>
      <c r="I198" s="18">
        <f>19440.43</f>
        <v>19440.43</v>
      </c>
      <c r="J198" s="18"/>
      <c r="K198" s="18">
        <f>441.14</f>
        <v>441.14</v>
      </c>
      <c r="L198" s="13">
        <f>SUM(F198:K198)</f>
        <v>877921.06</v>
      </c>
      <c r="M198" s="8"/>
      <c r="N198" s="164"/>
    </row>
    <row r="199" spans="1:14" s="3" customFormat="1" ht="12.2" customHeight="1" x14ac:dyDescent="0.15">
      <c r="A199" s="1" t="s">
        <v>439</v>
      </c>
      <c r="B199" s="2" t="s">
        <v>341</v>
      </c>
      <c r="C199" s="2" t="s">
        <v>291</v>
      </c>
      <c r="D199" s="2" t="s">
        <v>431</v>
      </c>
      <c r="E199" s="6">
        <v>1200</v>
      </c>
      <c r="F199" s="18">
        <f>90360.95</f>
        <v>90360.95</v>
      </c>
      <c r="G199" s="18">
        <f>16270.49</f>
        <v>16270.49</v>
      </c>
      <c r="H199" s="18">
        <f>2500</f>
        <v>2500</v>
      </c>
      <c r="I199" s="18">
        <f>222.08</f>
        <v>222.08</v>
      </c>
      <c r="J199" s="18"/>
      <c r="K199" s="18">
        <f>31631.24</f>
        <v>31631.24</v>
      </c>
      <c r="L199" s="13">
        <f>SUM(F199:K199)</f>
        <v>140984.76</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4870.6</f>
        <v>4870.6000000000004</v>
      </c>
      <c r="G201" s="18">
        <f>819.23</f>
        <v>819.23</v>
      </c>
      <c r="H201" s="18">
        <f>19629.01</f>
        <v>19629.009999999998</v>
      </c>
      <c r="I201" s="18">
        <f>805.75</f>
        <v>805.75</v>
      </c>
      <c r="J201" s="18"/>
      <c r="K201" s="18">
        <f>695.1</f>
        <v>695.1</v>
      </c>
      <c r="L201" s="13">
        <f>SUM(F201:K201)</f>
        <v>26819.689999999995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87567.84</f>
        <v>87567.84</v>
      </c>
      <c r="G203" s="18">
        <f>46266.83</f>
        <v>46266.83</v>
      </c>
      <c r="H203" s="18">
        <f>27125.16</f>
        <v>27125.16</v>
      </c>
      <c r="I203" s="18">
        <f>1435.24</f>
        <v>1435.24</v>
      </c>
      <c r="J203" s="18"/>
      <c r="K203" s="18">
        <f>2052.86</f>
        <v>2052.86</v>
      </c>
      <c r="L203" s="13">
        <f t="shared" ref="L203:L209" si="0">SUM(F203:K203)</f>
        <v>164447.92999999996</v>
      </c>
      <c r="M203" s="8"/>
      <c r="N203" s="164"/>
    </row>
    <row r="204" spans="1:14" s="3" customFormat="1" ht="12.2" customHeight="1" x14ac:dyDescent="0.15">
      <c r="A204" s="1" t="s">
        <v>443</v>
      </c>
      <c r="B204" s="2" t="s">
        <v>341</v>
      </c>
      <c r="C204" s="2" t="s">
        <v>295</v>
      </c>
      <c r="D204" s="2" t="s">
        <v>431</v>
      </c>
      <c r="E204" s="6">
        <v>2200</v>
      </c>
      <c r="F204" s="18">
        <f>15714.77</f>
        <v>15714.77</v>
      </c>
      <c r="G204" s="18">
        <f>2169.12</f>
        <v>2169.12</v>
      </c>
      <c r="H204" s="18">
        <f>19080.12+64.26</f>
        <v>19144.379999999997</v>
      </c>
      <c r="I204" s="18">
        <f>541.46</f>
        <v>541.46</v>
      </c>
      <c r="J204" s="18"/>
      <c r="K204" s="18">
        <f>525.59+4632</f>
        <v>5157.59</v>
      </c>
      <c r="L204" s="13">
        <f t="shared" si="0"/>
        <v>42727.319999999992</v>
      </c>
      <c r="M204" s="8"/>
      <c r="N204" s="164"/>
    </row>
    <row r="205" spans="1:14" s="3" customFormat="1" ht="12.2" customHeight="1" x14ac:dyDescent="0.15">
      <c r="A205" s="1" t="s">
        <v>444</v>
      </c>
      <c r="B205" s="2" t="s">
        <v>341</v>
      </c>
      <c r="C205" s="2" t="s">
        <v>296</v>
      </c>
      <c r="D205" s="2" t="s">
        <v>431</v>
      </c>
      <c r="E205" s="6">
        <v>2300</v>
      </c>
      <c r="F205" s="18">
        <f>2752.56</f>
        <v>2752.56</v>
      </c>
      <c r="G205" s="18">
        <f>512.18</f>
        <v>512.17999999999995</v>
      </c>
      <c r="H205" s="18">
        <f>220098.97+1851.88</f>
        <v>221950.85</v>
      </c>
      <c r="I205" s="18">
        <f>506.31</f>
        <v>506.31</v>
      </c>
      <c r="J205" s="18"/>
      <c r="K205" s="18">
        <f>3361.45</f>
        <v>3361.45</v>
      </c>
      <c r="L205" s="13">
        <f t="shared" si="0"/>
        <v>229083.35</v>
      </c>
      <c r="M205" s="8"/>
      <c r="N205" s="164"/>
    </row>
    <row r="206" spans="1:14" s="3" customFormat="1" ht="12.2" customHeight="1" x14ac:dyDescent="0.15">
      <c r="A206" s="1" t="s">
        <v>445</v>
      </c>
      <c r="B206" s="2" t="s">
        <v>341</v>
      </c>
      <c r="C206" s="2" t="s">
        <v>297</v>
      </c>
      <c r="D206" s="2" t="s">
        <v>431</v>
      </c>
      <c r="E206" s="6">
        <v>2400</v>
      </c>
      <c r="F206" s="18">
        <f>81900.98</f>
        <v>81900.98</v>
      </c>
      <c r="G206" s="18">
        <f>34424.66</f>
        <v>34424.660000000003</v>
      </c>
      <c r="H206" s="18">
        <f>576.12+804.02+4110.24</f>
        <v>5490.3799999999992</v>
      </c>
      <c r="I206" s="18">
        <f>734.86</f>
        <v>734.86</v>
      </c>
      <c r="J206" s="18">
        <v>0</v>
      </c>
      <c r="K206" s="18">
        <v>1363.4</v>
      </c>
      <c r="L206" s="13">
        <f t="shared" si="0"/>
        <v>123914.28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54151.22</f>
        <v>54151.22</v>
      </c>
      <c r="G208" s="18">
        <f>18643.9</f>
        <v>18643.900000000001</v>
      </c>
      <c r="H208" s="18">
        <f>13294.82+89931.75+4949.85</f>
        <v>108176.42000000001</v>
      </c>
      <c r="I208" s="18">
        <f>59607.29</f>
        <v>59607.29</v>
      </c>
      <c r="J208" s="18">
        <f>380.72</f>
        <v>380.72</v>
      </c>
      <c r="K208" s="18">
        <f>291.74</f>
        <v>291.74</v>
      </c>
      <c r="L208" s="13">
        <f t="shared" si="0"/>
        <v>241251.29</v>
      </c>
      <c r="M208" s="8"/>
      <c r="N208" s="164"/>
    </row>
    <row r="209" spans="1:14" s="3" customFormat="1" ht="12.2" customHeight="1" x14ac:dyDescent="0.15">
      <c r="A209" s="1" t="s">
        <v>448</v>
      </c>
      <c r="B209" s="2" t="s">
        <v>341</v>
      </c>
      <c r="C209" s="2" t="s">
        <v>300</v>
      </c>
      <c r="D209" s="2" t="s">
        <v>431</v>
      </c>
      <c r="E209" s="6">
        <v>2700</v>
      </c>
      <c r="F209" s="18">
        <f>29878.41</f>
        <v>29878.41</v>
      </c>
      <c r="G209" s="18">
        <f>3367.07</f>
        <v>3367.07</v>
      </c>
      <c r="H209" s="18">
        <f>7787.65+1301.89</f>
        <v>9089.5399999999991</v>
      </c>
      <c r="I209" s="18">
        <f>7946.32</f>
        <v>7946.32</v>
      </c>
      <c r="J209" s="18">
        <f>584.03</f>
        <v>584.03</v>
      </c>
      <c r="K209" s="18">
        <f>409.42</f>
        <v>409.42</v>
      </c>
      <c r="L209" s="13">
        <f t="shared" si="0"/>
        <v>51274.79</v>
      </c>
      <c r="M209" s="8"/>
      <c r="N209" s="164"/>
    </row>
    <row r="210" spans="1:14" s="3" customFormat="1" ht="12.2" customHeight="1" x14ac:dyDescent="0.15">
      <c r="A210" s="1" t="s">
        <v>449</v>
      </c>
      <c r="B210" s="2" t="s">
        <v>341</v>
      </c>
      <c r="C210" s="2" t="s">
        <v>343</v>
      </c>
      <c r="D210" s="2" t="s">
        <v>431</v>
      </c>
      <c r="E210" s="6">
        <v>2800</v>
      </c>
      <c r="F210" s="18"/>
      <c r="G210" s="18"/>
      <c r="H210" s="18">
        <f>1118.43</f>
        <v>1118.43</v>
      </c>
      <c r="I210" s="18">
        <f>17075.32</f>
        <v>17075.32</v>
      </c>
      <c r="J210" s="18">
        <f>14819.19</f>
        <v>14819.19</v>
      </c>
      <c r="K210" s="18"/>
      <c r="L210" s="13">
        <f>SUM(F210:K210)</f>
        <v>33012.94</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909428.85</v>
      </c>
      <c r="G212" s="38">
        <f t="shared" si="1"/>
        <v>434631.98000000004</v>
      </c>
      <c r="H212" s="38">
        <f t="shared" si="1"/>
        <v>417873.64</v>
      </c>
      <c r="I212" s="38">
        <f t="shared" si="1"/>
        <v>108315.06000000003</v>
      </c>
      <c r="J212" s="38">
        <f t="shared" si="1"/>
        <v>15783.94</v>
      </c>
      <c r="K212" s="38">
        <f t="shared" si="1"/>
        <v>45403.939999999988</v>
      </c>
      <c r="L212" s="38">
        <f t="shared" si="1"/>
        <v>1931437.4100000001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257218.53</f>
        <v>257218.53</v>
      </c>
      <c r="G234" s="18">
        <f>153136.52</f>
        <v>153136.51999999999</v>
      </c>
      <c r="H234" s="18">
        <f>490.68+829.19+14535</f>
        <v>15854.87</v>
      </c>
      <c r="I234" s="18">
        <f>22219.94</f>
        <v>22219.94</v>
      </c>
      <c r="J234" s="18">
        <f>1944.88</f>
        <v>1944.88</v>
      </c>
      <c r="K234" s="18">
        <f>379.51</f>
        <v>379.51</v>
      </c>
      <c r="L234" s="13">
        <f>SUM(F234:K234)</f>
        <v>450754.25</v>
      </c>
      <c r="M234" s="8"/>
      <c r="N234" s="164"/>
    </row>
    <row r="235" spans="1:14" s="3" customFormat="1" ht="12.2" customHeight="1" x14ac:dyDescent="0.15">
      <c r="A235" s="1" t="s">
        <v>439</v>
      </c>
      <c r="B235" s="2" t="s">
        <v>350</v>
      </c>
      <c r="C235" s="2" t="s">
        <v>291</v>
      </c>
      <c r="D235" s="2" t="s">
        <v>431</v>
      </c>
      <c r="E235" s="6">
        <v>1200</v>
      </c>
      <c r="F235" s="18">
        <f>76159.89</f>
        <v>76159.89</v>
      </c>
      <c r="G235" s="18">
        <f>13815.5</f>
        <v>13815.5</v>
      </c>
      <c r="H235" s="18">
        <f>2500+924.82</f>
        <v>3424.82</v>
      </c>
      <c r="I235" s="18">
        <f>242.7</f>
        <v>242.7</v>
      </c>
      <c r="J235" s="18"/>
      <c r="K235" s="18"/>
      <c r="L235" s="13">
        <f>SUM(F235:K235)</f>
        <v>93642.91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f>29419.4</f>
        <v>29419.4</v>
      </c>
      <c r="G237" s="18">
        <f>3734.7</f>
        <v>3734.7</v>
      </c>
      <c r="H237" s="18">
        <f>27694.31+6712.18</f>
        <v>34406.490000000005</v>
      </c>
      <c r="I237" s="18">
        <f>4730.97</f>
        <v>4730.97</v>
      </c>
      <c r="J237" s="18"/>
      <c r="K237" s="18">
        <f>5941.64</f>
        <v>5941.64</v>
      </c>
      <c r="L237" s="13">
        <f>SUM(F237:K237)</f>
        <v>78233.2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55383.8</f>
        <v>55383.8</v>
      </c>
      <c r="G239" s="18">
        <f>38082.98</f>
        <v>38082.980000000003</v>
      </c>
      <c r="H239" s="18">
        <f>24095.96</f>
        <v>24095.96</v>
      </c>
      <c r="I239" s="18">
        <f>1777.91</f>
        <v>1777.91</v>
      </c>
      <c r="J239" s="18"/>
      <c r="K239" s="18">
        <f>2149.58</f>
        <v>2149.58</v>
      </c>
      <c r="L239" s="13">
        <f t="shared" ref="L239:L245" si="4">SUM(F239:K239)</f>
        <v>121490.23</v>
      </c>
      <c r="M239" s="8"/>
      <c r="N239" s="164"/>
    </row>
    <row r="240" spans="1:14" s="3" customFormat="1" ht="12.2" customHeight="1" x14ac:dyDescent="0.15">
      <c r="A240" s="1" t="s">
        <v>443</v>
      </c>
      <c r="B240" s="2" t="s">
        <v>350</v>
      </c>
      <c r="C240" s="2" t="s">
        <v>295</v>
      </c>
      <c r="D240" s="2" t="s">
        <v>431</v>
      </c>
      <c r="E240" s="6">
        <v>2200</v>
      </c>
      <c r="F240" s="18">
        <f>12796.23</f>
        <v>12796.23</v>
      </c>
      <c r="G240" s="18">
        <f>2808.15</f>
        <v>2808.15</v>
      </c>
      <c r="H240" s="18">
        <f>14912.99+120.94</f>
        <v>15033.93</v>
      </c>
      <c r="I240" s="18">
        <f>145.28</f>
        <v>145.28</v>
      </c>
      <c r="J240" s="18"/>
      <c r="K240" s="18">
        <f>503.73+2168</f>
        <v>2671.73</v>
      </c>
      <c r="L240" s="13">
        <f t="shared" si="4"/>
        <v>33455.32</v>
      </c>
      <c r="M240" s="8"/>
      <c r="N240" s="164"/>
    </row>
    <row r="241" spans="1:14" s="3" customFormat="1" ht="12.2" customHeight="1" x14ac:dyDescent="0.15">
      <c r="A241" s="1" t="s">
        <v>444</v>
      </c>
      <c r="B241" s="2" t="s">
        <v>350</v>
      </c>
      <c r="C241" s="2" t="s">
        <v>296</v>
      </c>
      <c r="D241" s="2" t="s">
        <v>431</v>
      </c>
      <c r="E241" s="6">
        <v>2300</v>
      </c>
      <c r="F241" s="18">
        <f>1252.2</f>
        <v>1252.2</v>
      </c>
      <c r="G241" s="18">
        <f>100.79</f>
        <v>100.79</v>
      </c>
      <c r="H241" s="18">
        <f>186871.57+1510.05</f>
        <v>188381.62</v>
      </c>
      <c r="I241" s="18">
        <f>560.28</f>
        <v>560.28</v>
      </c>
      <c r="J241" s="18"/>
      <c r="K241" s="18">
        <f>2863.45</f>
        <v>2863.45</v>
      </c>
      <c r="L241" s="13">
        <f t="shared" si="4"/>
        <v>193158.34</v>
      </c>
      <c r="M241" s="8"/>
      <c r="N241" s="164"/>
    </row>
    <row r="242" spans="1:14" s="3" customFormat="1" ht="12.2" customHeight="1" x14ac:dyDescent="0.15">
      <c r="A242" s="1" t="s">
        <v>445</v>
      </c>
      <c r="B242" s="2" t="s">
        <v>350</v>
      </c>
      <c r="C242" s="2" t="s">
        <v>297</v>
      </c>
      <c r="D242" s="2" t="s">
        <v>431</v>
      </c>
      <c r="E242" s="6">
        <v>2400</v>
      </c>
      <c r="F242" s="18">
        <f>81889.72</f>
        <v>81889.72</v>
      </c>
      <c r="G242" s="18">
        <f>34345.6</f>
        <v>34345.599999999999</v>
      </c>
      <c r="H242" s="18">
        <f>490.68+684.85+3524.37</f>
        <v>4699.8999999999996</v>
      </c>
      <c r="I242" s="18">
        <f>926.56</f>
        <v>926.56</v>
      </c>
      <c r="J242" s="18"/>
      <c r="K242" s="18">
        <f>1111.6</f>
        <v>1111.5999999999999</v>
      </c>
      <c r="L242" s="13">
        <f t="shared" si="4"/>
        <v>122973.38</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f>54131.49</f>
        <v>54131.49</v>
      </c>
      <c r="G244" s="18">
        <f>18640.15</f>
        <v>18640.150000000001</v>
      </c>
      <c r="H244" s="18">
        <f>12130.6+76058.31+4944.24</f>
        <v>93133.150000000009</v>
      </c>
      <c r="I244" s="18">
        <f>51320.27</f>
        <v>51320.27</v>
      </c>
      <c r="J244" s="18">
        <f>324.32</f>
        <v>324.32</v>
      </c>
      <c r="K244" s="18">
        <f>248.51</f>
        <v>248.51</v>
      </c>
      <c r="L244" s="13">
        <f t="shared" si="4"/>
        <v>217797.89</v>
      </c>
      <c r="M244" s="8"/>
      <c r="N244" s="164"/>
    </row>
    <row r="245" spans="1:14" s="3" customFormat="1" ht="12.2" customHeight="1" x14ac:dyDescent="0.15">
      <c r="A245" s="1" t="s">
        <v>448</v>
      </c>
      <c r="B245" s="2" t="s">
        <v>350</v>
      </c>
      <c r="C245" s="2" t="s">
        <v>300</v>
      </c>
      <c r="D245" s="2" t="s">
        <v>431</v>
      </c>
      <c r="E245" s="6">
        <v>2700</v>
      </c>
      <c r="F245" s="18">
        <f>32553.97</f>
        <v>32553.97</v>
      </c>
      <c r="G245" s="18">
        <f>4863.04</f>
        <v>4863.04</v>
      </c>
      <c r="H245" s="18">
        <f>6167.85+615.9</f>
        <v>6783.75</v>
      </c>
      <c r="I245" s="18">
        <f>7003.12</f>
        <v>7003.12</v>
      </c>
      <c r="J245" s="18">
        <f>497.51</f>
        <v>497.51</v>
      </c>
      <c r="K245" s="18">
        <f>343.69</f>
        <v>343.69</v>
      </c>
      <c r="L245" s="13">
        <f t="shared" si="4"/>
        <v>52045.080000000009</v>
      </c>
      <c r="M245" s="8"/>
      <c r="N245" s="164"/>
    </row>
    <row r="246" spans="1:14" s="3" customFormat="1" ht="12.2" customHeight="1" x14ac:dyDescent="0.15">
      <c r="A246" s="1" t="s">
        <v>449</v>
      </c>
      <c r="B246" s="2" t="s">
        <v>350</v>
      </c>
      <c r="C246" s="2" t="s">
        <v>343</v>
      </c>
      <c r="D246" s="2" t="s">
        <v>431</v>
      </c>
      <c r="E246" s="6">
        <v>2800</v>
      </c>
      <c r="F246" s="18"/>
      <c r="G246" s="18"/>
      <c r="H246" s="18">
        <f>952.75</f>
        <v>952.75</v>
      </c>
      <c r="I246" s="18">
        <f>13158.01</f>
        <v>13158.01</v>
      </c>
      <c r="J246" s="18">
        <f>12126.92</f>
        <v>12126.92</v>
      </c>
      <c r="K246" s="18"/>
      <c r="L246" s="13">
        <f>SUM(F246:K246)</f>
        <v>26237.68</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600805.23</v>
      </c>
      <c r="G248" s="38">
        <f t="shared" si="5"/>
        <v>269527.43</v>
      </c>
      <c r="H248" s="38">
        <f t="shared" si="5"/>
        <v>386767.24000000005</v>
      </c>
      <c r="I248" s="38">
        <f t="shared" si="5"/>
        <v>102085.04</v>
      </c>
      <c r="J248" s="38">
        <f t="shared" si="5"/>
        <v>14893.630000000001</v>
      </c>
      <c r="K248" s="38">
        <f t="shared" si="5"/>
        <v>15709.710000000001</v>
      </c>
      <c r="L248" s="38">
        <f t="shared" si="5"/>
        <v>1389788.28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1510234.08</v>
      </c>
      <c r="G258" s="38">
        <f t="shared" si="8"/>
        <v>704159.41</v>
      </c>
      <c r="H258" s="38">
        <f t="shared" si="8"/>
        <v>804640.88000000012</v>
      </c>
      <c r="I258" s="38">
        <f t="shared" si="8"/>
        <v>210400.10000000003</v>
      </c>
      <c r="J258" s="38">
        <f t="shared" si="8"/>
        <v>30677.57</v>
      </c>
      <c r="K258" s="38">
        <f t="shared" si="8"/>
        <v>61113.649999999987</v>
      </c>
      <c r="L258" s="38">
        <f t="shared" si="8"/>
        <v>3321225.6900000004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1510234.08</v>
      </c>
      <c r="G272" s="39">
        <f t="shared" si="11"/>
        <v>704159.41</v>
      </c>
      <c r="H272" s="39">
        <f t="shared" si="11"/>
        <v>804640.88000000012</v>
      </c>
      <c r="I272" s="39">
        <f t="shared" si="11"/>
        <v>210400.10000000003</v>
      </c>
      <c r="J272" s="39">
        <f t="shared" si="11"/>
        <v>30677.57</v>
      </c>
      <c r="K272" s="39">
        <f t="shared" si="11"/>
        <v>61113.649999999987</v>
      </c>
      <c r="L272" s="39">
        <f t="shared" si="11"/>
        <v>3321225.6900000004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25325</f>
        <v>25325</v>
      </c>
      <c r="G277" s="18">
        <f>15270.88</f>
        <v>15270.88</v>
      </c>
      <c r="H277" s="18">
        <f>2800</f>
        <v>2800</v>
      </c>
      <c r="I277" s="18">
        <f>769.98+3592.62</f>
        <v>4362.6000000000004</v>
      </c>
      <c r="J277" s="18">
        <f>3199.5</f>
        <v>3199.5</v>
      </c>
      <c r="K277" s="18"/>
      <c r="L277" s="13">
        <f>SUM(F277:K277)</f>
        <v>50957.979999999996</v>
      </c>
      <c r="M277" s="8"/>
      <c r="N277" s="164"/>
    </row>
    <row r="278" spans="1:14" s="3" customFormat="1" ht="12.2" customHeight="1" x14ac:dyDescent="0.15">
      <c r="A278" s="1" t="s">
        <v>439</v>
      </c>
      <c r="B278" s="2" t="s">
        <v>357</v>
      </c>
      <c r="C278" s="2" t="s">
        <v>291</v>
      </c>
      <c r="D278" s="2" t="s">
        <v>431</v>
      </c>
      <c r="E278" s="6">
        <v>1200</v>
      </c>
      <c r="F278" s="18">
        <f>1593.5</f>
        <v>1593.5</v>
      </c>
      <c r="G278" s="18">
        <f>344.24</f>
        <v>344.24</v>
      </c>
      <c r="H278" s="18">
        <f>1625+183.4</f>
        <v>1808.4</v>
      </c>
      <c r="I278" s="18"/>
      <c r="J278" s="18">
        <f>1459.54</f>
        <v>1459.54</v>
      </c>
      <c r="K278" s="18">
        <f>777.6</f>
        <v>777.6</v>
      </c>
      <c r="L278" s="13">
        <f>SUM(F278:K278)</f>
        <v>5983.2800000000007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1075</f>
        <v>1075</v>
      </c>
      <c r="G280" s="18">
        <f>293.37</f>
        <v>293.37</v>
      </c>
      <c r="H280" s="18">
        <f>2100</f>
        <v>2100</v>
      </c>
      <c r="I280" s="18">
        <f>6120</f>
        <v>6120</v>
      </c>
      <c r="J280" s="18"/>
      <c r="K280" s="18"/>
      <c r="L280" s="13">
        <f>SUM(F280:K280)</f>
        <v>9588.369999999999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10800.28+117.3+3453.69</f>
        <v>14371.27</v>
      </c>
      <c r="I282" s="18">
        <f>5007.56+366.93</f>
        <v>5374.4900000000007</v>
      </c>
      <c r="J282" s="18"/>
      <c r="K282" s="18"/>
      <c r="L282" s="13">
        <f t="shared" ref="L282:L288" si="12">SUM(F282:K282)</f>
        <v>19745.760000000002</v>
      </c>
      <c r="M282" s="8"/>
      <c r="N282" s="164"/>
    </row>
    <row r="283" spans="1:14" s="3" customFormat="1" ht="12.2" customHeight="1" x14ac:dyDescent="0.15">
      <c r="A283" s="1" t="s">
        <v>443</v>
      </c>
      <c r="B283" s="2" t="s">
        <v>357</v>
      </c>
      <c r="C283" s="2" t="s">
        <v>295</v>
      </c>
      <c r="D283" s="2" t="s">
        <v>431</v>
      </c>
      <c r="E283" s="6">
        <v>2200</v>
      </c>
      <c r="F283" s="18">
        <f>8631.38</f>
        <v>8631.3799999999992</v>
      </c>
      <c r="G283" s="18">
        <f>1746.57</f>
        <v>1746.57</v>
      </c>
      <c r="H283" s="18">
        <f>26669.55+483.35</f>
        <v>27152.899999999998</v>
      </c>
      <c r="I283" s="18">
        <f>274.58</f>
        <v>274.58</v>
      </c>
      <c r="J283" s="18"/>
      <c r="K283" s="18">
        <f>2576.11</f>
        <v>2576.11</v>
      </c>
      <c r="L283" s="13">
        <f t="shared" si="12"/>
        <v>40381.54</v>
      </c>
      <c r="M283" s="8"/>
      <c r="N283" s="164"/>
    </row>
    <row r="284" spans="1:14" s="3" customFormat="1" ht="12.2" customHeight="1" x14ac:dyDescent="0.15">
      <c r="A284" s="1" t="s">
        <v>444</v>
      </c>
      <c r="B284" s="2" t="s">
        <v>357</v>
      </c>
      <c r="C284" s="2" t="s">
        <v>296</v>
      </c>
      <c r="D284" s="2" t="s">
        <v>431</v>
      </c>
      <c r="E284" s="6">
        <v>2300</v>
      </c>
      <c r="F284" s="18"/>
      <c r="G284" s="18"/>
      <c r="H284" s="18"/>
      <c r="I284" s="18"/>
      <c r="J284" s="18">
        <f>234.11</f>
        <v>234.11</v>
      </c>
      <c r="K284" s="18"/>
      <c r="L284" s="13">
        <f t="shared" si="12"/>
        <v>234.11</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f>491.21</f>
        <v>491.21</v>
      </c>
      <c r="L286" s="13">
        <f t="shared" si="12"/>
        <v>491.21</v>
      </c>
      <c r="M286" s="8"/>
      <c r="N286" s="164"/>
    </row>
    <row r="287" spans="1:14" s="3" customFormat="1" ht="12.2" customHeight="1" x14ac:dyDescent="0.15">
      <c r="A287" s="1" t="s">
        <v>447</v>
      </c>
      <c r="B287" s="2" t="s">
        <v>357</v>
      </c>
      <c r="C287" s="2" t="s">
        <v>299</v>
      </c>
      <c r="D287" s="2" t="s">
        <v>431</v>
      </c>
      <c r="E287" s="6">
        <v>2600</v>
      </c>
      <c r="F287" s="18"/>
      <c r="G287" s="18"/>
      <c r="H287" s="18"/>
      <c r="I287" s="18">
        <f>5059.2</f>
        <v>5059.2</v>
      </c>
      <c r="J287" s="18">
        <v>9530.9599999999991</v>
      </c>
      <c r="K287" s="18"/>
      <c r="L287" s="13">
        <f t="shared" si="12"/>
        <v>14590.16</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36624.879999999997</v>
      </c>
      <c r="G291" s="39">
        <f t="shared" si="13"/>
        <v>17655.060000000001</v>
      </c>
      <c r="H291" s="39">
        <f t="shared" si="13"/>
        <v>48232.569999999992</v>
      </c>
      <c r="I291" s="39">
        <f t="shared" si="13"/>
        <v>21190.87</v>
      </c>
      <c r="J291" s="39">
        <f t="shared" si="13"/>
        <v>14424.109999999999</v>
      </c>
      <c r="K291" s="39">
        <f t="shared" si="13"/>
        <v>3844.92</v>
      </c>
      <c r="L291" s="38">
        <f t="shared" si="13"/>
        <v>141972.41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8"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 t="shared" si="14"/>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v>4342.88</v>
      </c>
      <c r="J315" s="18">
        <v>2725.5</v>
      </c>
      <c r="K315" s="18"/>
      <c r="L315" s="13">
        <f>SUM(F315:K315)</f>
        <v>7068.38</v>
      </c>
      <c r="M315" s="8"/>
      <c r="N315" s="164"/>
    </row>
    <row r="316" spans="1:14" s="3" customFormat="1" ht="12.2" customHeight="1" x14ac:dyDescent="0.15">
      <c r="A316" s="1" t="s">
        <v>439</v>
      </c>
      <c r="B316" s="2" t="s">
        <v>359</v>
      </c>
      <c r="C316" s="2" t="s">
        <v>291</v>
      </c>
      <c r="D316" s="2" t="s">
        <v>431</v>
      </c>
      <c r="E316" s="6">
        <v>1200</v>
      </c>
      <c r="F316" s="18">
        <v>487.5</v>
      </c>
      <c r="G316" s="18">
        <v>133.04</v>
      </c>
      <c r="H316" s="18">
        <v>1625</v>
      </c>
      <c r="I316" s="18"/>
      <c r="J316" s="18"/>
      <c r="K316" s="18">
        <v>662.4</v>
      </c>
      <c r="L316" s="13">
        <f>SUM(F316:K316)</f>
        <v>2907.94</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5590.6</v>
      </c>
      <c r="I320" s="18">
        <v>6878.19</v>
      </c>
      <c r="J320" s="18"/>
      <c r="K320" s="18"/>
      <c r="L320" s="13">
        <f t="shared" ref="L320:L327" si="16">SUM(F320:K320)</f>
        <v>12468.79</v>
      </c>
      <c r="M320" s="8"/>
      <c r="N320" s="164"/>
    </row>
    <row r="321" spans="1:14" s="3" customFormat="1" ht="12.2" customHeight="1" x14ac:dyDescent="0.15">
      <c r="A321" s="1" t="s">
        <v>443</v>
      </c>
      <c r="B321" s="2" t="s">
        <v>359</v>
      </c>
      <c r="C321" s="2" t="s">
        <v>295</v>
      </c>
      <c r="D321" s="2" t="s">
        <v>431</v>
      </c>
      <c r="E321" s="6">
        <v>2200</v>
      </c>
      <c r="F321" s="18">
        <v>2500</v>
      </c>
      <c r="G321" s="18">
        <v>682.27</v>
      </c>
      <c r="H321" s="18">
        <v>1411.09</v>
      </c>
      <c r="I321" s="18">
        <v>235.54</v>
      </c>
      <c r="J321" s="18"/>
      <c r="K321" s="18">
        <v>1100.3599999999999</v>
      </c>
      <c r="L321" s="13">
        <f t="shared" si="16"/>
        <v>5929.2599999999993</v>
      </c>
      <c r="M321" s="8"/>
      <c r="N321" s="164"/>
    </row>
    <row r="322" spans="1:14" s="3" customFormat="1" ht="12.2" customHeight="1" x14ac:dyDescent="0.15">
      <c r="A322" s="1" t="s">
        <v>444</v>
      </c>
      <c r="B322" s="2" t="s">
        <v>359</v>
      </c>
      <c r="C322" s="2" t="s">
        <v>296</v>
      </c>
      <c r="D322" s="2" t="s">
        <v>431</v>
      </c>
      <c r="E322" s="6">
        <v>2300</v>
      </c>
      <c r="F322" s="18"/>
      <c r="G322" s="18"/>
      <c r="H322" s="18"/>
      <c r="I322" s="18"/>
      <c r="J322" s="18">
        <v>275.83</v>
      </c>
      <c r="K322" s="18"/>
      <c r="L322" s="13">
        <f t="shared" si="16"/>
        <v>275.83</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v>418.43</v>
      </c>
      <c r="L324" s="13">
        <f t="shared" si="16"/>
        <v>418.43</v>
      </c>
      <c r="M324" s="8"/>
      <c r="N324" s="164"/>
    </row>
    <row r="325" spans="1:14" s="3" customFormat="1" ht="12.2" customHeight="1" x14ac:dyDescent="0.15">
      <c r="A325" s="1" t="s">
        <v>447</v>
      </c>
      <c r="B325" s="2" t="s">
        <v>359</v>
      </c>
      <c r="C325" s="2" t="s">
        <v>299</v>
      </c>
      <c r="D325" s="2" t="s">
        <v>431</v>
      </c>
      <c r="E325" s="6">
        <v>2600</v>
      </c>
      <c r="F325" s="18"/>
      <c r="G325" s="18"/>
      <c r="H325" s="18"/>
      <c r="I325" s="18">
        <v>3372.8</v>
      </c>
      <c r="J325" s="18">
        <v>8118.97</v>
      </c>
      <c r="K325" s="18"/>
      <c r="L325" s="13">
        <f t="shared" si="16"/>
        <v>11491.77</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 t="shared" si="16"/>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K329" si="17">SUM(F315:F328)</f>
        <v>2987.5</v>
      </c>
      <c r="G329" s="39">
        <f t="shared" si="17"/>
        <v>815.31</v>
      </c>
      <c r="H329" s="39">
        <f t="shared" si="17"/>
        <v>8626.69</v>
      </c>
      <c r="I329" s="39">
        <f t="shared" si="17"/>
        <v>14829.41</v>
      </c>
      <c r="J329" s="39">
        <f t="shared" si="17"/>
        <v>11120.3</v>
      </c>
      <c r="K329" s="39">
        <f t="shared" si="17"/>
        <v>2181.1899999999996</v>
      </c>
      <c r="L329" s="38">
        <f t="shared" ref="L329" si="18">SUM(L315:L328)</f>
        <v>40560.400000000001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9">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9"/>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9"/>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9"/>
        <v>0</v>
      </c>
      <c r="M336" s="8"/>
      <c r="N336" s="164"/>
    </row>
    <row r="337" spans="1:43" s="3" customFormat="1" ht="12.2" customHeight="1" thickBot="1" x14ac:dyDescent="0.2">
      <c r="A337" s="1" t="s">
        <v>584</v>
      </c>
      <c r="B337" s="6">
        <v>14</v>
      </c>
      <c r="C337" s="6">
        <v>5</v>
      </c>
      <c r="D337" s="2" t="s">
        <v>431</v>
      </c>
      <c r="E337" s="6">
        <v>4000</v>
      </c>
      <c r="F337" s="18"/>
      <c r="G337" s="18"/>
      <c r="H337" s="18">
        <f>35422.38+30174.62</f>
        <v>65597</v>
      </c>
      <c r="I337" s="18"/>
      <c r="J337" s="18"/>
      <c r="K337" s="18"/>
      <c r="L337" s="13">
        <f t="shared" si="19"/>
        <v>65597</v>
      </c>
      <c r="M337" s="8"/>
      <c r="N337" s="164"/>
    </row>
    <row r="338" spans="1:43" s="3" customFormat="1" ht="12.2" customHeight="1" thickTop="1" thickBot="1" x14ac:dyDescent="0.2">
      <c r="A338" s="46" t="s">
        <v>467</v>
      </c>
      <c r="B338" s="37">
        <v>14</v>
      </c>
      <c r="C338" s="47">
        <v>6</v>
      </c>
      <c r="D338" s="44" t="s">
        <v>431</v>
      </c>
      <c r="E338" s="47"/>
      <c r="F338" s="38">
        <f t="shared" ref="F338:K338" si="20">SUM(F333:F337)</f>
        <v>0</v>
      </c>
      <c r="G338" s="38">
        <f t="shared" si="20"/>
        <v>0</v>
      </c>
      <c r="H338" s="38">
        <f t="shared" si="20"/>
        <v>65597</v>
      </c>
      <c r="I338" s="38">
        <f t="shared" si="20"/>
        <v>0</v>
      </c>
      <c r="J338" s="38">
        <f t="shared" si="20"/>
        <v>0</v>
      </c>
      <c r="K338" s="38">
        <f t="shared" si="20"/>
        <v>0</v>
      </c>
      <c r="L338" s="38">
        <f t="shared" si="19"/>
        <v>65597</v>
      </c>
      <c r="M338" s="8"/>
      <c r="N338" s="164"/>
    </row>
    <row r="339" spans="1:43" s="3" customFormat="1" ht="12.2" customHeight="1" thickTop="1" x14ac:dyDescent="0.15">
      <c r="A339" s="35" t="s">
        <v>468</v>
      </c>
      <c r="B339" s="37">
        <v>14</v>
      </c>
      <c r="C339" s="37">
        <v>7</v>
      </c>
      <c r="D339" s="36" t="s">
        <v>431</v>
      </c>
      <c r="E339" s="37"/>
      <c r="F339" s="38">
        <f t="shared" ref="F339:L339" si="21">F291+F310+F329+F338</f>
        <v>39612.379999999997</v>
      </c>
      <c r="G339" s="38">
        <f t="shared" si="21"/>
        <v>18470.370000000003</v>
      </c>
      <c r="H339" s="38">
        <f t="shared" si="21"/>
        <v>122456.26</v>
      </c>
      <c r="I339" s="38">
        <f t="shared" si="21"/>
        <v>36020.28</v>
      </c>
      <c r="J339" s="38">
        <f t="shared" si="21"/>
        <v>25544.409999999996</v>
      </c>
      <c r="K339" s="38">
        <f t="shared" si="21"/>
        <v>6026.11</v>
      </c>
      <c r="L339" s="38">
        <f t="shared" si="21"/>
        <v>248129.81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2">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2"/>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2"/>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2"/>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2"/>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2"/>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39612.379999999997</v>
      </c>
      <c r="G353" s="38">
        <f>G339</f>
        <v>18470.370000000003</v>
      </c>
      <c r="H353" s="38">
        <f>H339</f>
        <v>122456.26</v>
      </c>
      <c r="I353" s="38">
        <f>I339</f>
        <v>36020.28</v>
      </c>
      <c r="J353" s="38">
        <f>J339</f>
        <v>25544.409999999996</v>
      </c>
      <c r="K353" s="38">
        <f>K339+K352</f>
        <v>6026.11</v>
      </c>
      <c r="L353" s="38">
        <f>L339+L352</f>
        <v>248129.81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450.7+878.93+31730.85</f>
        <v>33060.479999999996</v>
      </c>
      <c r="I359" s="18">
        <f>131.6+376.3+3842.39</f>
        <v>4350.29</v>
      </c>
      <c r="J359" s="18">
        <f>4668.9</f>
        <v>4668.8999999999996</v>
      </c>
      <c r="K359" s="18"/>
      <c r="L359" s="13">
        <f>SUM(F359:K359)</f>
        <v>42079.67</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f>383.91+748.71+27029.97</f>
        <v>28162.59</v>
      </c>
      <c r="I361" s="18">
        <f>112.12+320.67+3273.14</f>
        <v>3705.93</v>
      </c>
      <c r="J361" s="18">
        <f>4579.1</f>
        <v>4579.1000000000004</v>
      </c>
      <c r="K361" s="18"/>
      <c r="L361" s="13">
        <f>SUM(F361:K361)</f>
        <v>36447.620000000003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3">SUM(F359:F362)</f>
        <v>0</v>
      </c>
      <c r="G363" s="38">
        <f t="shared" si="23"/>
        <v>0</v>
      </c>
      <c r="H363" s="38">
        <f t="shared" si="23"/>
        <v>61223.069999999992</v>
      </c>
      <c r="I363" s="38">
        <f t="shared" si="23"/>
        <v>8056.2199999999993</v>
      </c>
      <c r="J363" s="38">
        <f t="shared" si="23"/>
        <v>9248</v>
      </c>
      <c r="K363" s="38">
        <f t="shared" si="23"/>
        <v>0</v>
      </c>
      <c r="L363" s="38">
        <f t="shared" si="23"/>
        <v>78527.290000000008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3842.39</f>
        <v>3842.39</v>
      </c>
      <c r="G368" s="18"/>
      <c r="H368" s="18">
        <f>3273.14</f>
        <v>3273.14</v>
      </c>
      <c r="I368" s="13">
        <f>SUM(F368:H368)</f>
        <v>7115.53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131.6+376.3</f>
        <v>507.9</v>
      </c>
      <c r="G369" s="53"/>
      <c r="H369" s="53">
        <f>112.12+320.67</f>
        <v>432.79</v>
      </c>
      <c r="I369" s="13">
        <f>SUM(F369:H369)</f>
        <v>940.69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4350.29</v>
      </c>
      <c r="G370" s="38">
        <f>SUM(G368:G369)</f>
        <v>0</v>
      </c>
      <c r="H370" s="38">
        <f>SUM(H368:H369)</f>
        <v>3705.93</v>
      </c>
      <c r="I370" s="38">
        <f>SUM(I368:I369)</f>
        <v>8056.2199999999993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4">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4"/>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4"/>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4"/>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4"/>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4"/>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4"/>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5">SUM(G375:G382)</f>
        <v>0</v>
      </c>
      <c r="H383" s="97">
        <f t="shared" si="25"/>
        <v>0</v>
      </c>
      <c r="I383" s="38">
        <f t="shared" si="25"/>
        <v>0</v>
      </c>
      <c r="J383" s="38">
        <f t="shared" si="25"/>
        <v>0</v>
      </c>
      <c r="K383" s="38">
        <f t="shared" si="25"/>
        <v>0</v>
      </c>
      <c r="L383" s="38">
        <f t="shared" si="25"/>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6">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6"/>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6"/>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6"/>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6"/>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6"/>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7">SUM(F396:K396)</f>
        <v>0</v>
      </c>
      <c r="M396" s="8"/>
      <c r="N396" s="164"/>
    </row>
    <row r="397" spans="1:14" s="3" customFormat="1" ht="12.2" customHeight="1" x14ac:dyDescent="0.15">
      <c r="A397" s="62" t="s">
        <v>557</v>
      </c>
      <c r="B397" s="2" t="s">
        <v>381</v>
      </c>
      <c r="C397" s="6">
        <v>9</v>
      </c>
      <c r="D397" s="2" t="s">
        <v>432</v>
      </c>
      <c r="E397" s="6"/>
      <c r="F397" s="18"/>
      <c r="G397" s="18"/>
      <c r="H397" s="18">
        <f>5993.77</f>
        <v>5993.77</v>
      </c>
      <c r="I397" s="18"/>
      <c r="J397" s="23" t="s">
        <v>288</v>
      </c>
      <c r="K397" s="23" t="s">
        <v>288</v>
      </c>
      <c r="L397" s="13">
        <f t="shared" si="27"/>
        <v>5993.77</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7"/>
        <v>0</v>
      </c>
      <c r="M398" s="8"/>
      <c r="N398" s="164"/>
    </row>
    <row r="399" spans="1:14" s="3" customFormat="1" ht="12.2" customHeight="1" x14ac:dyDescent="0.15">
      <c r="A399" s="62" t="s">
        <v>558</v>
      </c>
      <c r="B399" s="2" t="s">
        <v>381</v>
      </c>
      <c r="C399" s="6">
        <v>11</v>
      </c>
      <c r="D399" s="2" t="s">
        <v>432</v>
      </c>
      <c r="E399" s="6"/>
      <c r="F399" s="18"/>
      <c r="G399" s="18"/>
      <c r="H399" s="18">
        <f>5519.52</f>
        <v>5519.52</v>
      </c>
      <c r="I399" s="18"/>
      <c r="J399" s="23" t="s">
        <v>288</v>
      </c>
      <c r="K399" s="23" t="s">
        <v>288</v>
      </c>
      <c r="L399" s="13">
        <f t="shared" si="27"/>
        <v>5519.52</v>
      </c>
      <c r="M399" s="8"/>
      <c r="N399" s="164"/>
    </row>
    <row r="400" spans="1:14" s="3" customFormat="1" ht="12.2" customHeight="1" x14ac:dyDescent="0.15">
      <c r="A400" s="62" t="s">
        <v>559</v>
      </c>
      <c r="B400" s="2" t="s">
        <v>381</v>
      </c>
      <c r="C400" s="6">
        <v>12</v>
      </c>
      <c r="D400" s="2" t="s">
        <v>432</v>
      </c>
      <c r="E400" s="6"/>
      <c r="F400" s="18"/>
      <c r="G400" s="18"/>
      <c r="H400" s="18">
        <f>1182.81</f>
        <v>1182.81</v>
      </c>
      <c r="I400" s="18"/>
      <c r="J400" s="23" t="s">
        <v>288</v>
      </c>
      <c r="K400" s="23" t="s">
        <v>288</v>
      </c>
      <c r="L400" s="13">
        <f t="shared" si="27"/>
        <v>1182.81</v>
      </c>
      <c r="M400" s="8"/>
      <c r="N400" s="164"/>
    </row>
    <row r="401" spans="1:21" s="3" customFormat="1" ht="12.2" customHeight="1" thickBot="1" x14ac:dyDescent="0.2">
      <c r="A401" s="62" t="s">
        <v>510</v>
      </c>
      <c r="B401" s="2" t="s">
        <v>381</v>
      </c>
      <c r="C401" s="6">
        <v>13</v>
      </c>
      <c r="D401" s="2" t="s">
        <v>432</v>
      </c>
      <c r="E401" s="6"/>
      <c r="F401" s="18"/>
      <c r="G401" s="18"/>
      <c r="H401" s="18">
        <f>32895.76-H397-H399-H400</f>
        <v>20199.66</v>
      </c>
      <c r="I401" s="18"/>
      <c r="J401" s="23" t="s">
        <v>288</v>
      </c>
      <c r="K401" s="23" t="s">
        <v>288</v>
      </c>
      <c r="L401" s="13">
        <f t="shared" si="27"/>
        <v>20199.66</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32895.760000000002</v>
      </c>
      <c r="I402" s="38">
        <f>SUM(I396:I401)</f>
        <v>0</v>
      </c>
      <c r="J402" s="42" t="s">
        <v>288</v>
      </c>
      <c r="K402" s="42" t="s">
        <v>288</v>
      </c>
      <c r="L402" s="38">
        <f>SUM(L396:L401)</f>
        <v>32895.760000000002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32895.760000000002</v>
      </c>
      <c r="I409" s="38">
        <f>I394+I402+I408</f>
        <v>0</v>
      </c>
      <c r="J409" s="23" t="s">
        <v>288</v>
      </c>
      <c r="K409" s="23" t="s">
        <v>288</v>
      </c>
      <c r="L409" s="38">
        <f>L394+L402+L408</f>
        <v>32895.760000000002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8">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8"/>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8"/>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8"/>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8"/>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8"/>
        <v>0</v>
      </c>
      <c r="M419" s="8"/>
      <c r="N419" s="164"/>
    </row>
    <row r="420" spans="1:21" s="3" customFormat="1" ht="12.2" customHeight="1" thickTop="1" x14ac:dyDescent="0.15">
      <c r="A420" s="116" t="s">
        <v>471</v>
      </c>
      <c r="B420" s="6">
        <v>17</v>
      </c>
      <c r="C420" s="6">
        <v>7</v>
      </c>
      <c r="D420" s="2" t="s">
        <v>432</v>
      </c>
      <c r="E420" s="37">
        <v>5251</v>
      </c>
      <c r="F420" s="97">
        <f t="shared" ref="F420:L420" si="29">SUM(F414:F419)</f>
        <v>0</v>
      </c>
      <c r="G420" s="97">
        <f t="shared" si="29"/>
        <v>0</v>
      </c>
      <c r="H420" s="97">
        <f t="shared" si="29"/>
        <v>0</v>
      </c>
      <c r="I420" s="97">
        <f t="shared" si="29"/>
        <v>0</v>
      </c>
      <c r="J420" s="97">
        <f t="shared" si="29"/>
        <v>0</v>
      </c>
      <c r="K420" s="97">
        <f t="shared" si="29"/>
        <v>0</v>
      </c>
      <c r="L420" s="38">
        <f t="shared" si="29"/>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30">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30"/>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30"/>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30"/>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30"/>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30"/>
        <v>0</v>
      </c>
      <c r="M427" s="8"/>
      <c r="N427" s="164"/>
    </row>
    <row r="428" spans="1:21" s="11" customFormat="1" ht="12.2" customHeight="1" thickTop="1" x14ac:dyDescent="0.15">
      <c r="A428" s="116" t="s">
        <v>470</v>
      </c>
      <c r="B428" s="6">
        <v>17</v>
      </c>
      <c r="C428" s="6">
        <v>14</v>
      </c>
      <c r="D428" s="2" t="s">
        <v>432</v>
      </c>
      <c r="E428" s="37">
        <v>5252</v>
      </c>
      <c r="F428" s="38">
        <f t="shared" ref="F428:L428" si="31">SUM(F422:F427)</f>
        <v>0</v>
      </c>
      <c r="G428" s="38">
        <f t="shared" si="31"/>
        <v>0</v>
      </c>
      <c r="H428" s="38">
        <f t="shared" si="31"/>
        <v>0</v>
      </c>
      <c r="I428" s="38">
        <f t="shared" si="31"/>
        <v>0</v>
      </c>
      <c r="J428" s="38">
        <f t="shared" si="31"/>
        <v>0</v>
      </c>
      <c r="K428" s="38">
        <f t="shared" si="31"/>
        <v>0</v>
      </c>
      <c r="L428" s="38">
        <f t="shared" si="31"/>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2">SUM(F430:F433)</f>
        <v>0</v>
      </c>
      <c r="G434" s="38">
        <f t="shared" si="32"/>
        <v>0</v>
      </c>
      <c r="H434" s="38">
        <f t="shared" si="32"/>
        <v>0</v>
      </c>
      <c r="I434" s="38">
        <f t="shared" si="32"/>
        <v>0</v>
      </c>
      <c r="J434" s="38">
        <f t="shared" si="32"/>
        <v>0</v>
      </c>
      <c r="K434" s="38">
        <f t="shared" si="32"/>
        <v>0</v>
      </c>
      <c r="L434" s="38">
        <f t="shared" si="32"/>
        <v>0</v>
      </c>
      <c r="M434" s="8"/>
      <c r="N434" s="164"/>
    </row>
    <row r="435" spans="1:14" s="3" customFormat="1" ht="12.2" customHeight="1" thickTop="1" x14ac:dyDescent="0.15">
      <c r="A435" s="61" t="s">
        <v>422</v>
      </c>
      <c r="B435" s="6">
        <v>17</v>
      </c>
      <c r="C435" s="6">
        <v>20</v>
      </c>
      <c r="D435" s="2" t="s">
        <v>432</v>
      </c>
      <c r="E435" s="37"/>
      <c r="F435" s="38">
        <f t="shared" ref="F435:L435" si="33">F420+F428+F434</f>
        <v>0</v>
      </c>
      <c r="G435" s="38">
        <f t="shared" si="33"/>
        <v>0</v>
      </c>
      <c r="H435" s="38">
        <f t="shared" si="33"/>
        <v>0</v>
      </c>
      <c r="I435" s="38">
        <f t="shared" si="33"/>
        <v>0</v>
      </c>
      <c r="J435" s="38">
        <f t="shared" si="33"/>
        <v>0</v>
      </c>
      <c r="K435" s="38">
        <f t="shared" si="33"/>
        <v>0</v>
      </c>
      <c r="L435" s="38">
        <f t="shared" si="33"/>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635108.5</v>
      </c>
      <c r="H440" s="18"/>
      <c r="I440" s="13">
        <f t="shared" ref="I440:I446" si="34">SUM(F440:H440)</f>
        <v>635108.5</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4"/>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4"/>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4"/>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4"/>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4"/>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4"/>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635108.5</v>
      </c>
      <c r="H447" s="13">
        <f>SUM(H440:H446)</f>
        <v>0</v>
      </c>
      <c r="I447" s="13">
        <f>SUM(I440:I446)</f>
        <v>635108.5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5">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5"/>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5"/>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5"/>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5"/>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635108.5</v>
      </c>
      <c r="H460" s="18"/>
      <c r="I460" s="13">
        <f t="shared" si="35"/>
        <v>635108.5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635108.5</v>
      </c>
      <c r="H461" s="65">
        <f>SUM(H455:H460)</f>
        <v>0</v>
      </c>
      <c r="I461" s="65">
        <f>SUM(I455:I460)</f>
        <v>635108.5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635108.5</v>
      </c>
      <c r="H462" s="39">
        <f>H453+H461</f>
        <v>0</v>
      </c>
      <c r="I462" s="39">
        <f>I453+I461</f>
        <v>635108.5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423591.71</v>
      </c>
      <c r="G466" s="18">
        <v>40186.03</v>
      </c>
      <c r="H466" s="18">
        <v>0</v>
      </c>
      <c r="I466" s="18">
        <v>0</v>
      </c>
      <c r="J466" s="18">
        <v>602212.74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3486564.75</f>
        <v>3486564.75</v>
      </c>
      <c r="G469" s="18">
        <f>48038.55</f>
        <v>48038.55</v>
      </c>
      <c r="H469" s="18">
        <v>248129.81</v>
      </c>
      <c r="I469" s="18"/>
      <c r="J469" s="18">
        <v>32895.760000000002</v>
      </c>
      <c r="K469" s="23" t="s">
        <v>288</v>
      </c>
      <c r="L469" s="23" t="s">
        <v>288</v>
      </c>
      <c r="N469" s="130"/>
    </row>
    <row r="470" spans="1:14" ht="12.2" customHeight="1" x14ac:dyDescent="0.2">
      <c r="A470" s="71" t="s">
        <v>611</v>
      </c>
      <c r="B470" s="22">
        <v>19</v>
      </c>
      <c r="C470" s="31">
        <v>3</v>
      </c>
      <c r="D470" s="2" t="s">
        <v>432</v>
      </c>
      <c r="E470" s="31"/>
      <c r="F470" s="18" t="s">
        <v>286</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3486564.75</v>
      </c>
      <c r="G471" s="19">
        <f>SUM(G469:G470)</f>
        <v>48038.55</v>
      </c>
      <c r="H471" s="19">
        <f>SUM(H469:H470)</f>
        <v>248129.81</v>
      </c>
      <c r="I471" s="19">
        <f>SUM(I469:I470)</f>
        <v>0</v>
      </c>
      <c r="J471" s="19">
        <f>SUM(J469:J470)</f>
        <v>32895.760000000002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3321225.69</f>
        <v>3321225.69</v>
      </c>
      <c r="G473" s="18">
        <f>78527.29</f>
        <v>78527.289999999994</v>
      </c>
      <c r="H473" s="18">
        <v>248129.81</v>
      </c>
      <c r="I473" s="18"/>
      <c r="J473" s="18"/>
      <c r="K473" s="23" t="s">
        <v>288</v>
      </c>
      <c r="L473" s="23" t="s">
        <v>288</v>
      </c>
      <c r="N473" s="130"/>
    </row>
    <row r="474" spans="1:14" ht="12.2" customHeight="1" x14ac:dyDescent="0.2">
      <c r="A474" s="71" t="s">
        <v>613</v>
      </c>
      <c r="B474" s="22">
        <v>19</v>
      </c>
      <c r="C474" s="31">
        <v>6</v>
      </c>
      <c r="D474" s="2" t="s">
        <v>432</v>
      </c>
      <c r="E474" s="31"/>
      <c r="F474" s="18">
        <v>1356</v>
      </c>
      <c r="G474" s="18">
        <v>1786.22</v>
      </c>
      <c r="H474" s="18"/>
      <c r="I474" s="18"/>
      <c r="J474" s="18"/>
      <c r="K474" s="23" t="s">
        <v>288</v>
      </c>
      <c r="L474" s="23" t="s">
        <v>288</v>
      </c>
      <c r="N474" s="130"/>
    </row>
    <row r="475" spans="1:14" ht="12.2" customHeight="1" x14ac:dyDescent="0.2">
      <c r="A475" s="32" t="s">
        <v>426</v>
      </c>
      <c r="B475" s="22">
        <v>19</v>
      </c>
      <c r="C475" s="31">
        <v>7</v>
      </c>
      <c r="D475" s="2" t="s">
        <v>432</v>
      </c>
      <c r="E475" s="31"/>
      <c r="F475" s="19">
        <f>SUM(F473:F474)</f>
        <v>3322581.69</v>
      </c>
      <c r="G475" s="19">
        <f>SUM(G473:G474)</f>
        <v>80313.509999999995</v>
      </c>
      <c r="H475" s="19">
        <f>SUM(H473:H474)</f>
        <v>248129.81</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587574.77</v>
      </c>
      <c r="G477" s="19">
        <f>(G466+G471)- G475</f>
        <v>7911.070000000007</v>
      </c>
      <c r="H477" s="19">
        <f>(H466+H471)- H475</f>
        <v>0</v>
      </c>
      <c r="I477" s="19">
        <f>(I466+I471)- I475</f>
        <v>0</v>
      </c>
      <c r="J477" s="19">
        <f>(J466+J471)- J475</f>
        <v>635108.5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6"/>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6"/>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88570.93</f>
        <v>88570.93</v>
      </c>
      <c r="G522" s="18">
        <f>16251.94</f>
        <v>16251.94</v>
      </c>
      <c r="H522" s="18">
        <f>4125+183.4+1799.39</f>
        <v>6107.79</v>
      </c>
      <c r="I522" s="18">
        <f>222.08</f>
        <v>222.08</v>
      </c>
      <c r="J522" s="18">
        <f>1459.54</f>
        <v>1459.54</v>
      </c>
      <c r="K522" s="18">
        <f>32408.84</f>
        <v>32408.84</v>
      </c>
      <c r="L522" s="69">
        <f>SUM(F522:K522)</f>
        <v>145021.12</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76647.39</f>
        <v>76647.39</v>
      </c>
      <c r="G524" s="18">
        <f>13934.42</f>
        <v>13934.42</v>
      </c>
      <c r="H524" s="18">
        <f>4125+924.82+449.85</f>
        <v>5499.67</v>
      </c>
      <c r="I524" s="18">
        <f>242.7</f>
        <v>242.7</v>
      </c>
      <c r="J524" s="18"/>
      <c r="K524" s="18">
        <f>662.4</f>
        <v>662.4</v>
      </c>
      <c r="L524" s="69">
        <f>SUM(F524:K524)</f>
        <v>96986.579999999987</v>
      </c>
      <c r="N524" s="130"/>
    </row>
    <row r="525" spans="1:14" ht="12.2" customHeight="1" thickTop="1" x14ac:dyDescent="0.2">
      <c r="A525" s="97" t="s">
        <v>63</v>
      </c>
      <c r="B525" s="41">
        <v>21</v>
      </c>
      <c r="C525" s="41">
        <v>4</v>
      </c>
      <c r="D525" s="115" t="s">
        <v>432</v>
      </c>
      <c r="E525" s="41"/>
      <c r="F525" s="81">
        <f>SUM(F522:F524)</f>
        <v>165218.32</v>
      </c>
      <c r="G525" s="81">
        <f t="shared" ref="G525:L525" si="37">SUM(G522:G524)</f>
        <v>30186.36</v>
      </c>
      <c r="H525" s="81">
        <f t="shared" si="37"/>
        <v>11607.46</v>
      </c>
      <c r="I525" s="81">
        <f t="shared" si="37"/>
        <v>464.78</v>
      </c>
      <c r="J525" s="81">
        <f t="shared" si="37"/>
        <v>1459.54</v>
      </c>
      <c r="K525" s="81">
        <f t="shared" si="37"/>
        <v>33071.24</v>
      </c>
      <c r="L525" s="70">
        <f t="shared" si="37"/>
        <v>242007.69999999998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2161.64</f>
        <v>2161.64</v>
      </c>
      <c r="G527" s="18">
        <f>176.67+367.69</f>
        <v>544.36</v>
      </c>
      <c r="H527" s="18">
        <f>3452.5+3487.5+157.5+1797.5</f>
        <v>8895</v>
      </c>
      <c r="I527" s="18">
        <f>87.86+4806.79+107.48</f>
        <v>5002.1299999999992</v>
      </c>
      <c r="J527" s="18">
        <f>234.11</f>
        <v>234.11</v>
      </c>
      <c r="K527" s="18"/>
      <c r="L527" s="69">
        <f>SUM(F527:K527)</f>
        <v>16837.239999999998</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f>1412.49</f>
        <v>1412.49</v>
      </c>
      <c r="G529" s="18">
        <f>119.34+31.48</f>
        <v>150.82</v>
      </c>
      <c r="H529" s="18">
        <f>47.5+1520+10237.5</f>
        <v>11805</v>
      </c>
      <c r="I529" s="18">
        <f>316.78</f>
        <v>316.77999999999997</v>
      </c>
      <c r="J529" s="18">
        <f>275.83</f>
        <v>275.83</v>
      </c>
      <c r="K529" s="18">
        <f>211.99</f>
        <v>211.99</v>
      </c>
      <c r="L529" s="69">
        <f>SUM(F529:K529)</f>
        <v>14172.91</v>
      </c>
      <c r="M529" s="8"/>
      <c r="N529" s="164"/>
    </row>
    <row r="530" spans="1:14" s="3" customFormat="1" ht="12.2" customHeight="1" thickTop="1" x14ac:dyDescent="0.15">
      <c r="A530" s="97" t="s">
        <v>65</v>
      </c>
      <c r="B530" s="41">
        <v>21</v>
      </c>
      <c r="C530" s="41">
        <v>8</v>
      </c>
      <c r="D530" s="115" t="s">
        <v>432</v>
      </c>
      <c r="E530" s="41"/>
      <c r="F530" s="70">
        <f>SUM(F527:F529)</f>
        <v>3574.13</v>
      </c>
      <c r="G530" s="70">
        <f t="shared" ref="G530:L530" si="38">SUM(G527:G529)</f>
        <v>695.18000000000006</v>
      </c>
      <c r="H530" s="70">
        <f t="shared" si="38"/>
        <v>20700</v>
      </c>
      <c r="I530" s="70">
        <f t="shared" si="38"/>
        <v>5318.9099999999989</v>
      </c>
      <c r="J530" s="70">
        <f t="shared" si="38"/>
        <v>509.94</v>
      </c>
      <c r="K530" s="70">
        <f t="shared" si="38"/>
        <v>211.99</v>
      </c>
      <c r="L530" s="70">
        <f t="shared" si="38"/>
        <v>31010.149999999998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f>19500.73</f>
        <v>19500.73</v>
      </c>
      <c r="I532" s="18"/>
      <c r="J532" s="18"/>
      <c r="K532" s="18"/>
      <c r="L532" s="69">
        <f>SUM(F532:K532)</f>
        <v>19500.73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f>16611.74</f>
        <v>16611.740000000002</v>
      </c>
      <c r="I534" s="18"/>
      <c r="J534" s="18"/>
      <c r="K534" s="18"/>
      <c r="L534" s="69">
        <f>SUM(F534:K534)</f>
        <v>16611.740000000002</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36112.47</v>
      </c>
      <c r="I535" s="70">
        <f t="shared" si="39"/>
        <v>0</v>
      </c>
      <c r="J535" s="70">
        <f t="shared" si="39"/>
        <v>0</v>
      </c>
      <c r="K535" s="70">
        <f t="shared" si="39"/>
        <v>0</v>
      </c>
      <c r="L535" s="70">
        <f t="shared" si="39"/>
        <v>36112.47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f>9.81</f>
        <v>9.81</v>
      </c>
      <c r="H542" s="18"/>
      <c r="I542" s="18"/>
      <c r="J542" s="18"/>
      <c r="K542" s="18"/>
      <c r="L542" s="69">
        <f>SUM(F542:K542)</f>
        <v>9.81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1">SUM(G542:G544)</f>
        <v>9.81</v>
      </c>
      <c r="H545" s="140">
        <f t="shared" si="41"/>
        <v>0</v>
      </c>
      <c r="I545" s="140">
        <f t="shared" si="41"/>
        <v>0</v>
      </c>
      <c r="J545" s="140">
        <f t="shared" si="41"/>
        <v>0</v>
      </c>
      <c r="K545" s="140">
        <f t="shared" si="41"/>
        <v>0</v>
      </c>
      <c r="L545" s="140">
        <f t="shared" si="41"/>
        <v>9.81</v>
      </c>
      <c r="M545" s="8"/>
      <c r="N545" s="164"/>
    </row>
    <row r="546" spans="1:14" s="3" customFormat="1" ht="12.2" customHeight="1" thickTop="1" x14ac:dyDescent="0.15">
      <c r="A546" s="75" t="s">
        <v>72</v>
      </c>
      <c r="B546" s="41">
        <v>21</v>
      </c>
      <c r="C546" s="41">
        <v>21</v>
      </c>
      <c r="D546" s="115" t="s">
        <v>432</v>
      </c>
      <c r="E546" s="41"/>
      <c r="F546" s="70">
        <f>F525+F530+F535+F540+F545</f>
        <v>168792.45</v>
      </c>
      <c r="G546" s="70">
        <f t="shared" ref="G546:L546" si="42">G525+G530+G535+G540+G545</f>
        <v>30891.350000000002</v>
      </c>
      <c r="H546" s="70">
        <f t="shared" si="42"/>
        <v>68419.929999999993</v>
      </c>
      <c r="I546" s="70">
        <f t="shared" si="42"/>
        <v>5783.6899999999987</v>
      </c>
      <c r="J546" s="70">
        <f t="shared" si="42"/>
        <v>1969.48</v>
      </c>
      <c r="K546" s="70">
        <f t="shared" si="42"/>
        <v>33283.229999999996</v>
      </c>
      <c r="L546" s="70">
        <f t="shared" si="42"/>
        <v>309140.12999999995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145021.12</v>
      </c>
      <c r="G550" s="69">
        <f>L527</f>
        <v>16837.239999999998</v>
      </c>
      <c r="H550" s="69">
        <f>L532</f>
        <v>19500.73</v>
      </c>
      <c r="I550" s="69">
        <f>L537</f>
        <v>0</v>
      </c>
      <c r="J550" s="69">
        <f>L542</f>
        <v>9.81</v>
      </c>
      <c r="K550" s="69">
        <f>SUM(F550:J550)</f>
        <v>181368.9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96986.579999999987</v>
      </c>
      <c r="G552" s="69">
        <f>L529</f>
        <v>14172.91</v>
      </c>
      <c r="H552" s="69">
        <f>L534</f>
        <v>16611.740000000002</v>
      </c>
      <c r="I552" s="69">
        <f>L539</f>
        <v>0</v>
      </c>
      <c r="J552" s="69">
        <f>L544</f>
        <v>0</v>
      </c>
      <c r="K552" s="69">
        <f>SUM(F552:J552)</f>
        <v>127771.23</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242007.69999999998</v>
      </c>
      <c r="G553" s="70">
        <f t="shared" si="43"/>
        <v>31010.149999999998</v>
      </c>
      <c r="H553" s="70">
        <f t="shared" si="43"/>
        <v>36112.47</v>
      </c>
      <c r="I553" s="70">
        <f t="shared" si="43"/>
        <v>0</v>
      </c>
      <c r="J553" s="70">
        <f t="shared" si="43"/>
        <v>9.81</v>
      </c>
      <c r="K553" s="70">
        <f t="shared" si="43"/>
        <v>309140.13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8"/>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f>14237</f>
        <v>14237</v>
      </c>
      <c r="I581" s="69">
        <f t="shared" si="48"/>
        <v>14237</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8"/>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9">SUM(G576:G588)</f>
        <v>0</v>
      </c>
      <c r="H589" s="79">
        <f t="shared" si="49"/>
        <v>14237</v>
      </c>
      <c r="I589" s="79">
        <f t="shared" si="49"/>
        <v>14237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47472.99</f>
        <v>47472.99</v>
      </c>
      <c r="I592" s="18"/>
      <c r="J592" s="18">
        <f>40432.84</f>
        <v>40432.839999999997</v>
      </c>
      <c r="K592" s="80">
        <f t="shared" ref="K592:K598" si="50">SUM(H592:J592)</f>
        <v>87905.829999999987</v>
      </c>
      <c r="L592" s="23" t="s">
        <v>288</v>
      </c>
      <c r="M592" s="8"/>
      <c r="N592" s="164"/>
    </row>
    <row r="593" spans="1:14" s="3" customFormat="1" ht="12.2" customHeight="1" x14ac:dyDescent="0.15">
      <c r="A593" s="3" t="s">
        <v>638</v>
      </c>
      <c r="B593" s="22">
        <v>23</v>
      </c>
      <c r="C593" s="22">
        <v>2</v>
      </c>
      <c r="D593" s="2" t="s">
        <v>432</v>
      </c>
      <c r="E593" s="22"/>
      <c r="F593" s="78">
        <v>2722</v>
      </c>
      <c r="G593" s="79" t="s">
        <v>97</v>
      </c>
      <c r="H593" s="18">
        <v>9.81</v>
      </c>
      <c r="I593" s="18"/>
      <c r="J593" s="18"/>
      <c r="K593" s="80">
        <f t="shared" si="50"/>
        <v>9.81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1.57</v>
      </c>
      <c r="K594" s="80">
        <f t="shared" si="50"/>
        <v>1.57</v>
      </c>
      <c r="L594" s="23" t="s">
        <v>288</v>
      </c>
      <c r="M594" s="8"/>
      <c r="N594" s="164"/>
    </row>
    <row r="595" spans="1:14" s="3" customFormat="1" ht="12.2" customHeight="1" x14ac:dyDescent="0.15">
      <c r="A595" s="21" t="s">
        <v>640</v>
      </c>
      <c r="B595" s="22">
        <v>23</v>
      </c>
      <c r="C595" s="22">
        <v>4</v>
      </c>
      <c r="D595" s="2" t="s">
        <v>432</v>
      </c>
      <c r="E595" s="22"/>
      <c r="F595" s="78">
        <v>2724</v>
      </c>
      <c r="G595" s="79" t="s">
        <v>97</v>
      </c>
      <c r="H595" s="18">
        <v>1418.78</v>
      </c>
      <c r="I595" s="18"/>
      <c r="J595" s="18">
        <v>9893.33</v>
      </c>
      <c r="K595" s="80">
        <f t="shared" si="50"/>
        <v>11312.11</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2373.21</v>
      </c>
      <c r="I596" s="18"/>
      <c r="J596" s="18">
        <v>1717.34</v>
      </c>
      <c r="K596" s="80">
        <f t="shared" si="50"/>
        <v>4090.55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51274.789999999994</v>
      </c>
      <c r="I599" s="81">
        <f>SUM(I592:I598)</f>
        <v>0</v>
      </c>
      <c r="J599" s="81">
        <f>SUM(J592:J598)</f>
        <v>52045.079999999994</v>
      </c>
      <c r="K599" s="81">
        <f>SUM(K592:K598)</f>
        <v>103319.87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25345.99-4668.9+9530.96</f>
        <v>30208.050000000003</v>
      </c>
      <c r="I605" s="18"/>
      <c r="J605" s="18">
        <f>22474.06-4579.1+8118.97</f>
        <v>26013.93</v>
      </c>
      <c r="K605" s="80">
        <f>SUM(H605:J605)</f>
        <v>56221.98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30208.050000000003</v>
      </c>
      <c r="I606" s="81">
        <f>SUM(I603:I605)</f>
        <v>0</v>
      </c>
      <c r="J606" s="81">
        <f>SUM(J603:J605)</f>
        <v>26013.93</v>
      </c>
      <c r="K606" s="81">
        <f>SUM(K603:K605)</f>
        <v>56221.98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733375.24</v>
      </c>
      <c r="H618" s="80">
        <f>SUM(F52)</f>
        <v>733375.24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168446.83000000002</v>
      </c>
      <c r="H619" s="80">
        <f>SUM(G52)</f>
        <v>168446.83000000002</v>
      </c>
      <c r="I619" s="87" t="s">
        <v>872</v>
      </c>
      <c r="J619" s="80">
        <f>G619-H619</f>
        <v>0</v>
      </c>
      <c r="K619" s="80"/>
      <c r="L619" s="80"/>
      <c r="M619" s="8"/>
    </row>
    <row r="620" spans="1:14" s="3" customFormat="1" ht="12.2" customHeight="1" x14ac:dyDescent="0.15">
      <c r="A620" s="74"/>
      <c r="B620" s="22"/>
      <c r="C620" s="22"/>
      <c r="D620" s="22"/>
      <c r="E620" s="22"/>
      <c r="F620" s="87" t="s">
        <v>685</v>
      </c>
      <c r="G620" s="80">
        <f>SUM(H19)</f>
        <v>101913.67</v>
      </c>
      <c r="H620" s="80">
        <f>SUM(H52)</f>
        <v>101913.67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635108.5</v>
      </c>
      <c r="H622" s="80">
        <f>SUM(J52)</f>
        <v>635108.5</v>
      </c>
      <c r="I622" s="87" t="s">
        <v>875</v>
      </c>
      <c r="J622" s="80">
        <f>G622-H622</f>
        <v>0</v>
      </c>
      <c r="K622" s="80"/>
      <c r="L622" s="80"/>
      <c r="M622" s="8"/>
    </row>
    <row r="623" spans="1:14" s="3" customFormat="1" ht="12.2" customHeight="1" x14ac:dyDescent="0.15">
      <c r="A623" s="74"/>
      <c r="B623" s="22"/>
      <c r="C623" s="22"/>
      <c r="D623" s="22"/>
      <c r="E623" s="22"/>
      <c r="F623" s="87" t="s">
        <v>861</v>
      </c>
      <c r="G623" s="80">
        <f>F51</f>
        <v>587574.77</v>
      </c>
      <c r="H623" s="80">
        <f>F477</f>
        <v>587574.77</v>
      </c>
      <c r="I623" s="87" t="s">
        <v>101</v>
      </c>
      <c r="J623" s="80">
        <f t="shared" ref="J623:J656" si="52">G623-H623</f>
        <v>0</v>
      </c>
      <c r="K623" s="80"/>
      <c r="L623" s="80"/>
      <c r="M623" s="8"/>
    </row>
    <row r="624" spans="1:14" s="3" customFormat="1" ht="12.2" customHeight="1" x14ac:dyDescent="0.15">
      <c r="A624" s="74"/>
      <c r="B624" s="22"/>
      <c r="C624" s="85"/>
      <c r="D624" s="85"/>
      <c r="E624" s="85"/>
      <c r="F624" s="85" t="s">
        <v>862</v>
      </c>
      <c r="G624" s="80">
        <f>G51</f>
        <v>7911.07</v>
      </c>
      <c r="H624" s="80">
        <f>G477</f>
        <v>7911.070000000007</v>
      </c>
      <c r="I624" s="87" t="s">
        <v>102</v>
      </c>
      <c r="J624" s="80">
        <f t="shared" si="52"/>
        <v>-7.2759576141834259E-12</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2"/>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635108.5</v>
      </c>
      <c r="H627" s="80">
        <f>J477</f>
        <v>635108.5</v>
      </c>
      <c r="I627" s="87" t="s">
        <v>105</v>
      </c>
      <c r="J627" s="80">
        <f t="shared" si="52"/>
        <v>0</v>
      </c>
      <c r="K627" s="67"/>
      <c r="L627" s="69"/>
      <c r="M627" s="8"/>
    </row>
    <row r="628" spans="1:13" s="3" customFormat="1" ht="12.2" customHeight="1" x14ac:dyDescent="0.15">
      <c r="A628" s="21"/>
      <c r="B628" s="22"/>
      <c r="C628" s="22"/>
      <c r="D628" s="22"/>
      <c r="E628" s="22"/>
      <c r="F628" s="86" t="s">
        <v>658</v>
      </c>
      <c r="G628" s="80">
        <f>F194</f>
        <v>3486564.75</v>
      </c>
      <c r="H628" s="80">
        <f>SUM(F469)</f>
        <v>3486564.75</v>
      </c>
      <c r="I628" s="87" t="s">
        <v>106</v>
      </c>
      <c r="J628" s="80">
        <f>G628-H628</f>
        <v>0</v>
      </c>
      <c r="K628" s="67"/>
      <c r="L628" s="69"/>
      <c r="M628" s="8"/>
    </row>
    <row r="629" spans="1:13" s="3" customFormat="1" ht="12.2" customHeight="1" x14ac:dyDescent="0.15">
      <c r="A629" s="21"/>
      <c r="B629" s="22"/>
      <c r="C629" s="22"/>
      <c r="D629" s="22"/>
      <c r="E629" s="22"/>
      <c r="F629" s="86" t="s">
        <v>659</v>
      </c>
      <c r="G629" s="80">
        <f>G194</f>
        <v>48038.549999999996</v>
      </c>
      <c r="H629" s="80">
        <f>SUM(G469)</f>
        <v>48038.55</v>
      </c>
      <c r="I629" s="87" t="s">
        <v>107</v>
      </c>
      <c r="J629" s="80">
        <f>G629-H629</f>
        <v>0</v>
      </c>
      <c r="K629" s="67"/>
      <c r="L629" s="69"/>
      <c r="M629" s="8"/>
    </row>
    <row r="630" spans="1:13" s="3" customFormat="1" ht="12.2" customHeight="1" x14ac:dyDescent="0.15">
      <c r="A630" s="21"/>
      <c r="B630" s="22"/>
      <c r="C630" s="22"/>
      <c r="D630" s="22"/>
      <c r="E630" s="22"/>
      <c r="F630" s="86" t="s">
        <v>660</v>
      </c>
      <c r="G630" s="80">
        <f>H194</f>
        <v>248129.81000000003</v>
      </c>
      <c r="H630" s="80">
        <f>SUM(H469)</f>
        <v>248129.81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32895.760000000002</v>
      </c>
      <c r="H632" s="80">
        <f>SUM(J469)</f>
        <v>32895.760000000002</v>
      </c>
      <c r="I632" s="87" t="s">
        <v>110</v>
      </c>
      <c r="J632" s="80">
        <f>G632-H632</f>
        <v>0</v>
      </c>
      <c r="K632" s="67"/>
      <c r="L632" s="69"/>
      <c r="M632" s="8"/>
    </row>
    <row r="633" spans="1:13" s="3" customFormat="1" ht="12.2" customHeight="1" x14ac:dyDescent="0.15">
      <c r="A633" s="21"/>
      <c r="B633" s="22"/>
      <c r="C633" s="22"/>
      <c r="D633" s="22"/>
      <c r="E633" s="22"/>
      <c r="F633" s="86" t="s">
        <v>394</v>
      </c>
      <c r="G633" s="80">
        <f>SUM(L272)</f>
        <v>3321225.6900000004</v>
      </c>
      <c r="H633" s="80">
        <f>SUM(F473)</f>
        <v>3321225.69</v>
      </c>
      <c r="I633" s="87" t="s">
        <v>111</v>
      </c>
      <c r="J633" s="80">
        <f t="shared" si="52"/>
        <v>0</v>
      </c>
      <c r="K633" s="67"/>
      <c r="L633" s="69"/>
      <c r="M633" s="8"/>
    </row>
    <row r="634" spans="1:13" s="3" customFormat="1" ht="12.2" customHeight="1" x14ac:dyDescent="0.15">
      <c r="A634" s="21"/>
      <c r="B634" s="22"/>
      <c r="C634" s="22"/>
      <c r="D634" s="22"/>
      <c r="E634" s="22"/>
      <c r="F634" s="86" t="s">
        <v>395</v>
      </c>
      <c r="G634" s="80">
        <f>SUM(L353)</f>
        <v>248129.81</v>
      </c>
      <c r="H634" s="80">
        <f>SUM(H473)</f>
        <v>248129.81</v>
      </c>
      <c r="I634" s="87" t="s">
        <v>112</v>
      </c>
      <c r="J634" s="80">
        <f>G634-H634</f>
        <v>0</v>
      </c>
      <c r="K634" s="67"/>
      <c r="L634" s="69"/>
      <c r="M634" s="8"/>
    </row>
    <row r="635" spans="1:13" s="124" customFormat="1" ht="12.2" customHeight="1" x14ac:dyDescent="0.15">
      <c r="A635" s="21"/>
      <c r="B635" s="22"/>
      <c r="C635" s="22"/>
      <c r="D635" s="22"/>
      <c r="E635" s="22"/>
      <c r="F635" s="99" t="s">
        <v>247</v>
      </c>
      <c r="G635" s="80">
        <f>I363</f>
        <v>8056.2199999999993</v>
      </c>
      <c r="H635" s="80">
        <f>I370</f>
        <v>8056.2199999999993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78527.290000000008</v>
      </c>
      <c r="H636" s="80">
        <f>SUM(G473)</f>
        <v>78527.289999999994</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32895.760000000002</v>
      </c>
      <c r="H638" s="108">
        <f>SUM(J469)</f>
        <v>32895.760000000002</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635108.5</v>
      </c>
      <c r="H641" s="80">
        <f>SUM(G462)</f>
        <v>635108.5</v>
      </c>
      <c r="I641" s="87" t="s">
        <v>838</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2"/>
        <v>0</v>
      </c>
      <c r="K642" s="67"/>
      <c r="L642" s="69"/>
      <c r="M642" s="8"/>
    </row>
    <row r="643" spans="1:13" s="3" customFormat="1" ht="12.2" customHeight="1" x14ac:dyDescent="0.15">
      <c r="A643" s="21"/>
      <c r="B643" s="22"/>
      <c r="C643" s="22"/>
      <c r="D643" s="22"/>
      <c r="E643" s="22"/>
      <c r="F643" s="86" t="s">
        <v>121</v>
      </c>
      <c r="G643" s="80">
        <f>SUM(I447)</f>
        <v>635108.5</v>
      </c>
      <c r="H643" s="80">
        <f>SUM(I462)</f>
        <v>635108.5</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32895.760000000002</v>
      </c>
      <c r="H645" s="80">
        <f>H409</f>
        <v>32895.760000000002</v>
      </c>
      <c r="I645" s="87" t="s">
        <v>480</v>
      </c>
      <c r="J645" s="80">
        <f t="shared" si="52"/>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2"/>
        <v>0</v>
      </c>
      <c r="K646" s="67"/>
      <c r="L646" s="69"/>
      <c r="M646" s="8"/>
    </row>
    <row r="647" spans="1:13" s="3" customFormat="1" ht="12.2" customHeight="1" x14ac:dyDescent="0.15">
      <c r="A647" s="21"/>
      <c r="B647" s="22"/>
      <c r="C647" s="22"/>
      <c r="D647" s="22"/>
      <c r="E647" s="22"/>
      <c r="F647" s="86" t="s">
        <v>662</v>
      </c>
      <c r="G647" s="80">
        <f>J194</f>
        <v>32895.760000000002</v>
      </c>
      <c r="H647" s="80">
        <f>L409</f>
        <v>32895.760000000002</v>
      </c>
      <c r="I647" s="87" t="s">
        <v>477</v>
      </c>
      <c r="J647" s="80">
        <f t="shared" si="52"/>
        <v>0</v>
      </c>
      <c r="K647" s="67"/>
      <c r="L647" s="69"/>
      <c r="M647" s="8"/>
    </row>
    <row r="648" spans="1:13" s="3" customFormat="1" ht="12.2" customHeight="1" x14ac:dyDescent="0.15">
      <c r="A648" s="21"/>
      <c r="B648" s="22"/>
      <c r="C648" s="22"/>
      <c r="D648" s="22"/>
      <c r="E648" s="22"/>
      <c r="F648" s="86" t="s">
        <v>51</v>
      </c>
      <c r="G648" s="80">
        <f>K599</f>
        <v>103319.87</v>
      </c>
      <c r="H648" s="80">
        <f>L209+L227+L245</f>
        <v>103319.87000000001</v>
      </c>
      <c r="I648" s="87" t="s">
        <v>396</v>
      </c>
      <c r="J648" s="80">
        <f t="shared" si="52"/>
        <v>0</v>
      </c>
      <c r="K648" s="67"/>
      <c r="L648" s="69"/>
      <c r="M648" s="8"/>
    </row>
    <row r="649" spans="1:13" s="3" customFormat="1" ht="12.2" customHeight="1" x14ac:dyDescent="0.15">
      <c r="A649" s="21"/>
      <c r="B649" s="22"/>
      <c r="C649" s="22"/>
      <c r="D649" s="22"/>
      <c r="E649" s="22"/>
      <c r="F649" s="86" t="s">
        <v>52</v>
      </c>
      <c r="G649" s="80">
        <f>K606</f>
        <v>56221.98</v>
      </c>
      <c r="H649" s="80">
        <f>(J258+J339)-(J256+J337)</f>
        <v>56221.979999999996</v>
      </c>
      <c r="I649" s="87" t="s">
        <v>699</v>
      </c>
      <c r="J649" s="80">
        <f t="shared" si="52"/>
        <v>0</v>
      </c>
      <c r="K649" s="67"/>
      <c r="L649" s="69"/>
      <c r="M649" s="8"/>
    </row>
    <row r="650" spans="1:13" s="3" customFormat="1" ht="12.2" customHeight="1" x14ac:dyDescent="0.15">
      <c r="A650" s="21"/>
      <c r="B650" s="22"/>
      <c r="C650" s="22"/>
      <c r="D650" s="22"/>
      <c r="E650" s="22"/>
      <c r="F650" s="86" t="s">
        <v>387</v>
      </c>
      <c r="G650" s="80">
        <f>L209</f>
        <v>51274.79</v>
      </c>
      <c r="H650" s="80">
        <f>H599</f>
        <v>51274.789999999994</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52045.080000000009</v>
      </c>
      <c r="H652" s="80">
        <f>J599</f>
        <v>52045.079999999994</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2115489.4900000002</v>
      </c>
      <c r="G661" s="13">
        <f>(L230+L310+L360)</f>
        <v>0</v>
      </c>
      <c r="H661" s="13">
        <f>(L248+L329+L361)</f>
        <v>1466796.3</v>
      </c>
      <c r="I661" s="13">
        <f>SUM(F661:H661)</f>
        <v>3582285.79</v>
      </c>
      <c r="J661" s="13"/>
      <c r="K661" s="13"/>
      <c r="L661" s="13"/>
      <c r="M661" s="9"/>
    </row>
    <row r="662" spans="1:13" s="3" customFormat="1" ht="12.2" customHeight="1" x14ac:dyDescent="0.2">
      <c r="A662" s="1" t="s">
        <v>127</v>
      </c>
      <c r="F662" s="13">
        <f>(L359/IF(SUM(L359:L361)=0,1,SUM(L359:L361))*(SUM(G97:G110)))</f>
        <v>11385.491566694838</v>
      </c>
      <c r="G662" s="13">
        <f>(L360/IF(SUM(L359:L361)=0,1,SUM(L359:L361))*(SUM(G97:G110)))</f>
        <v>0</v>
      </c>
      <c r="H662" s="13">
        <f>(L361/IF(SUM(L359:L361)=0,1,SUM(L359:L361))*(SUM(G97:G110)))</f>
        <v>9861.6284333051608</v>
      </c>
      <c r="I662" s="13">
        <f>SUM(F662:H662)</f>
        <v>21247.119999999999</v>
      </c>
      <c r="J662"/>
      <c r="K662" s="13"/>
      <c r="L662" s="13"/>
      <c r="M662" s="8"/>
    </row>
    <row r="663" spans="1:13" s="3" customFormat="1" ht="12.2" customHeight="1" x14ac:dyDescent="0.2">
      <c r="A663" s="1" t="s">
        <v>128</v>
      </c>
      <c r="F663" s="13">
        <f>(L209+L288)-(J209+J288)</f>
        <v>50690.76</v>
      </c>
      <c r="G663" s="13">
        <f>(L227+L307)-(J227+J307)</f>
        <v>0</v>
      </c>
      <c r="H663" s="13">
        <f>(L245+L326)-(J245+J326)</f>
        <v>51547.570000000007</v>
      </c>
      <c r="I663" s="13">
        <f>SUM(F663:H663)</f>
        <v>102238.33000000002</v>
      </c>
      <c r="J663"/>
      <c r="K663" s="13"/>
      <c r="L663" s="13"/>
      <c r="M663" s="9"/>
    </row>
    <row r="664" spans="1:13" s="3" customFormat="1" ht="12.2" customHeight="1" x14ac:dyDescent="0.15">
      <c r="A664" s="141" t="s">
        <v>129</v>
      </c>
      <c r="B664" s="124"/>
      <c r="C664" s="124"/>
      <c r="D664" s="124"/>
      <c r="E664" s="124"/>
      <c r="F664" s="142">
        <f>SUM(F576:F588)+SUM(H603:H605)+SUM(L612)</f>
        <v>30208.050000000003</v>
      </c>
      <c r="G664" s="142">
        <f>SUM(G576:G588)+SUM(I603:I605)+L613</f>
        <v>0</v>
      </c>
      <c r="H664" s="142">
        <f>SUM(H576:H588)+SUM(J603:J605)+L614</f>
        <v>40250.93</v>
      </c>
      <c r="I664" s="13">
        <f>SUM(F664:H664)</f>
        <v>70458.98000000001</v>
      </c>
      <c r="J664" s="13"/>
      <c r="K664" s="13"/>
      <c r="L664" s="13"/>
      <c r="M664" s="9"/>
    </row>
    <row r="665" spans="1:13" s="3" customFormat="1" ht="12.2" customHeight="1" x14ac:dyDescent="0.15">
      <c r="A665" s="1" t="s">
        <v>130</v>
      </c>
      <c r="F665" s="13">
        <f>F661-SUM(F662:F664)</f>
        <v>2023205.1884333054</v>
      </c>
      <c r="G665" s="13">
        <f>G661-SUM(G662:G664)</f>
        <v>0</v>
      </c>
      <c r="H665" s="13">
        <f>H661-SUM(H662:H664)</f>
        <v>1365136.171566695</v>
      </c>
      <c r="I665" s="13">
        <f>I661-SUM(I662:I664)</f>
        <v>3388341.36</v>
      </c>
      <c r="J665" s="13"/>
      <c r="K665" s="13"/>
      <c r="L665" s="13"/>
      <c r="M665" s="8"/>
    </row>
    <row r="666" spans="1:13" s="3" customFormat="1" ht="12.2" customHeight="1" x14ac:dyDescent="0.2">
      <c r="A666" s="1" t="s">
        <v>131</v>
      </c>
      <c r="F666" s="182">
        <v>47.66</v>
      </c>
      <c r="G666" s="183"/>
      <c r="H666" s="183">
        <v>28.51</v>
      </c>
      <c r="I666" s="13">
        <f>SUM(F666:H666)</f>
        <v>76.17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42450.8</v>
      </c>
      <c r="G668" s="13" t="e">
        <f>ROUND(G665/G666,2)</f>
        <v>#DIV/0!</v>
      </c>
      <c r="H668" s="13">
        <f>ROUND(H665/H666,2)</f>
        <v>47882.71</v>
      </c>
      <c r="I668" s="13">
        <f>ROUND(I665/I666,2)</f>
        <v>44483.94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42450.8</v>
      </c>
      <c r="G673" s="13" t="e">
        <f>ROUND((G665+G670)/(G666+G671),2)</f>
        <v>#DIV/0!</v>
      </c>
      <c r="H673" s="13">
        <f>ROUND((H665+H670)/(H666+H671),2)</f>
        <v>47882.71</v>
      </c>
      <c r="I673" s="13">
        <f>ROUND((I665+I670)/(I666+I671),2)</f>
        <v>44483.94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18139.52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2392.83+6403.89</f>
        <v>8796.7200000000012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8163.75+706.55+472.5</f>
        <v>9342.7999999999993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Pittsburg</v>
      </c>
      <c r="C5" s="321"/>
      <c r="D5" s="321"/>
      <c r="E5" s="321"/>
      <c r="F5" s="321"/>
    </row>
    <row r="8" spans="1:9" ht="18" x14ac:dyDescent="0.25">
      <c r="A8" s="239" t="s">
        <v>1548</v>
      </c>
      <c r="F8" s="246" t="s">
        <v>1566</v>
      </c>
    </row>
    <row r="9" spans="1:9" ht="15" x14ac:dyDescent="0.2">
      <c r="A9" s="237" t="s">
        <v>1549</v>
      </c>
      <c r="B9" s="240">
        <f>'DOE25'!G97</f>
        <v>21247.119999999999</v>
      </c>
      <c r="F9" s="237" t="s">
        <v>1562</v>
      </c>
    </row>
    <row r="10" spans="1:9" ht="15" x14ac:dyDescent="0.2">
      <c r="A10" s="237" t="s">
        <v>1550</v>
      </c>
      <c r="B10" s="240">
        <f>'DOE25'!G112-'DOE25'!G97</f>
        <v>0</v>
      </c>
      <c r="F10" s="237" t="s">
        <v>1563</v>
      </c>
    </row>
    <row r="11" spans="1:9" ht="15" x14ac:dyDescent="0.2">
      <c r="A11" s="237" t="s">
        <v>1551</v>
      </c>
      <c r="B11" s="240">
        <f>'DOE25'!G140</f>
        <v>187.35</v>
      </c>
      <c r="F11" s="237" t="s">
        <v>1564</v>
      </c>
    </row>
    <row r="12" spans="1:9" ht="15" x14ac:dyDescent="0.2">
      <c r="A12" s="237" t="s">
        <v>1552</v>
      </c>
      <c r="B12" s="240">
        <f>'DOE25'!G170</f>
        <v>26604.079999999998</v>
      </c>
      <c r="F12" s="237" t="s">
        <v>1565</v>
      </c>
    </row>
    <row r="13" spans="1:9" ht="15" x14ac:dyDescent="0.2">
      <c r="A13" s="237" t="s">
        <v>1553</v>
      </c>
      <c r="B13" s="240">
        <f>'DOE25'!G193-'DOE25'!G180</f>
        <v>0</v>
      </c>
      <c r="F13" s="237" t="s">
        <v>1575</v>
      </c>
    </row>
    <row r="14" spans="1:9" ht="18" x14ac:dyDescent="0.25">
      <c r="A14" s="239" t="s">
        <v>732</v>
      </c>
      <c r="B14" s="241">
        <f>SUM(B9:B13)</f>
        <v>48038.549999999996</v>
      </c>
    </row>
    <row r="16" spans="1:9" ht="18" x14ac:dyDescent="0.25">
      <c r="A16" s="239" t="s">
        <v>783</v>
      </c>
      <c r="F16" s="246" t="s">
        <v>1567</v>
      </c>
    </row>
    <row r="17" spans="1:6" ht="15" x14ac:dyDescent="0.2">
      <c r="A17" s="237" t="s">
        <v>1554</v>
      </c>
      <c r="B17" s="240">
        <f>'DOE25'!L363-'DOE25'!L362</f>
        <v>78527.290000000008</v>
      </c>
      <c r="F17" s="237" t="s">
        <v>1568</v>
      </c>
    </row>
    <row r="18" spans="1:6" ht="15" x14ac:dyDescent="0.2">
      <c r="A18" s="237" t="s">
        <v>1555</v>
      </c>
      <c r="B18" s="250"/>
      <c r="F18" s="246" t="s">
        <v>1592</v>
      </c>
    </row>
    <row r="19" spans="1:6" ht="18" x14ac:dyDescent="0.25">
      <c r="A19" s="239" t="s">
        <v>725</v>
      </c>
      <c r="B19" s="241">
        <f>SUM(B17:B18)</f>
        <v>78527.290000000008</v>
      </c>
    </row>
    <row r="21" spans="1:6" ht="18.75" thickBot="1" x14ac:dyDescent="0.3">
      <c r="A21" s="239" t="s">
        <v>1556</v>
      </c>
    </row>
    <row r="22" spans="1:6" ht="18.75" thickTop="1" x14ac:dyDescent="0.25">
      <c r="A22" s="239" t="s">
        <v>1557</v>
      </c>
      <c r="B22" s="245">
        <f>B14-B19</f>
        <v>-30488.740000000013</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40186.03</v>
      </c>
      <c r="F31" s="237" t="s">
        <v>1572</v>
      </c>
    </row>
    <row r="33" spans="1:6" ht="15" x14ac:dyDescent="0.2">
      <c r="A33" s="237" t="s">
        <v>1790</v>
      </c>
      <c r="B33" s="240">
        <f>'DOE25'!G477</f>
        <v>7911.070000000007</v>
      </c>
      <c r="F33" s="237" t="s">
        <v>1573</v>
      </c>
    </row>
    <row r="36" spans="1:6" ht="15" x14ac:dyDescent="0.2">
      <c r="A36" s="237" t="s">
        <v>1559</v>
      </c>
      <c r="B36" s="251">
        <v>3963.64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Pittsburg</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824775.05</v>
      </c>
      <c r="C9" s="166">
        <f>'DOE25'!G198+'DOE25'!G216+'DOE25'!G234+'DOE25'!G277+'DOE25'!G296+'DOE25'!G315</f>
        <v>480565.9</v>
      </c>
    </row>
    <row r="10" spans="1:3" x14ac:dyDescent="0.2">
      <c r="A10" t="s">
        <v>772</v>
      </c>
      <c r="B10" s="176">
        <f>758383.42+625+25325+20721.22</f>
        <v>805054.64</v>
      </c>
      <c r="C10" s="176">
        <f>C9-C11-C12</f>
        <v>479044.79</v>
      </c>
    </row>
    <row r="11" spans="1:3" x14ac:dyDescent="0.2">
      <c r="A11" t="s">
        <v>773</v>
      </c>
      <c r="B11" s="176">
        <f>2081.25</f>
        <v>2081.25</v>
      </c>
      <c r="C11" s="176">
        <v>171.71</v>
      </c>
    </row>
    <row r="12" spans="1:3" x14ac:dyDescent="0.2">
      <c r="A12" t="s">
        <v>774</v>
      </c>
      <c r="B12" s="176">
        <f>17639.16</f>
        <v>17639.16</v>
      </c>
      <c r="C12" s="176">
        <f>1349.4</f>
        <v>1349.4</v>
      </c>
    </row>
    <row r="13" spans="1:3" x14ac:dyDescent="0.2">
      <c r="A13" t="str">
        <f>IF(B9=B13,IF(C9=C13,"Check Total OK","Check Total Error"),"Check Total Error")</f>
        <v>Check Total OK</v>
      </c>
      <c r="B13" s="168">
        <f>SUM(B10:B12)</f>
        <v>824775.05</v>
      </c>
      <c r="C13" s="168">
        <f>SUM(C10:C12)</f>
        <v>480565.9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168601.84</v>
      </c>
      <c r="C18" s="166">
        <f>'DOE25'!G199+'DOE25'!G217+'DOE25'!G235+'DOE25'!G278+'DOE25'!G297+'DOE25'!G316</f>
        <v>30563.27</v>
      </c>
    </row>
    <row r="19" spans="1:3" x14ac:dyDescent="0.2">
      <c r="A19" t="s">
        <v>772</v>
      </c>
      <c r="B19" s="176">
        <f>58599.25</f>
        <v>58599.25</v>
      </c>
      <c r="C19" s="176">
        <f>C18-C20-C21</f>
        <v>21540.530000000002</v>
      </c>
    </row>
    <row r="20" spans="1:3" x14ac:dyDescent="0.2">
      <c r="A20" t="s">
        <v>773</v>
      </c>
      <c r="B20" s="176">
        <f>99176.13+2081</f>
        <v>101257.13</v>
      </c>
      <c r="C20" s="176">
        <f>7746.17+607.54</f>
        <v>8353.7099999999991</v>
      </c>
    </row>
    <row r="21" spans="1:3" x14ac:dyDescent="0.2">
      <c r="A21" t="s">
        <v>774</v>
      </c>
      <c r="B21" s="176">
        <f>8745.46</f>
        <v>8745.4599999999991</v>
      </c>
      <c r="C21" s="176">
        <f>669.03</f>
        <v>669.03</v>
      </c>
    </row>
    <row r="22" spans="1:3" x14ac:dyDescent="0.2">
      <c r="A22" t="str">
        <f>IF(B18=B22,IF(C18=C22,"Check Total OK","Check Total Error"),"Check Total Error")</f>
        <v>Check Total OK</v>
      </c>
      <c r="B22" s="168">
        <f>SUM(B19:B21)</f>
        <v>168601.84</v>
      </c>
      <c r="C22" s="168">
        <f>SUM(C19:C21)</f>
        <v>30563.27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35365</v>
      </c>
      <c r="C36" s="172">
        <f>'DOE25'!G201+'DOE25'!G219+'DOE25'!G237+'DOE25'!G280+'DOE25'!G299+'DOE25'!G318</f>
        <v>4847.3</v>
      </c>
    </row>
    <row r="37" spans="1:3" x14ac:dyDescent="0.2">
      <c r="A37" t="s">
        <v>772</v>
      </c>
      <c r="B37" s="176"/>
      <c r="C37" s="176"/>
    </row>
    <row r="38" spans="1:3" x14ac:dyDescent="0.2">
      <c r="A38" t="s">
        <v>773</v>
      </c>
      <c r="B38" s="176"/>
      <c r="C38" s="176"/>
    </row>
    <row r="39" spans="1:3" x14ac:dyDescent="0.2">
      <c r="A39" t="s">
        <v>774</v>
      </c>
      <c r="B39" s="176">
        <f>35365</f>
        <v>35365</v>
      </c>
      <c r="C39" s="176">
        <f>4847.3</f>
        <v>4847.3</v>
      </c>
    </row>
    <row r="40" spans="1:3" x14ac:dyDescent="0.2">
      <c r="A40" t="str">
        <f>IF(B36=B40,IF(C36=C40,"Check Total OK","Check Total Error"),"Check Total Error")</f>
        <v>Check Total OK</v>
      </c>
      <c r="B40" s="168">
        <f>SUM(B37:B39)</f>
        <v>35365</v>
      </c>
      <c r="C40" s="168">
        <f>SUM(C37:C39)</f>
        <v>4847.3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Pittsburg</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1668355.87</v>
      </c>
      <c r="D5" s="19">
        <f>SUM('DOE25'!L198:L201)+SUM('DOE25'!L216:L219)+SUM('DOE25'!L234:L237)-F5-G5-H5</f>
        <v>1627322.3600000003</v>
      </c>
      <c r="E5" s="179"/>
      <c r="F5" s="180"/>
      <c r="G5" s="19">
        <f>SUM('DOE25'!J198:J201)+SUM('DOE25'!J216:J219)+SUM('DOE25'!J234:J237)</f>
        <v>1944.88</v>
      </c>
      <c r="H5" s="19">
        <f>SUM('DOE25'!K198:K201)+SUM('DOE25'!K216:K219)+SUM('DOE25'!K234:K237)</f>
        <v>39088.629999999997</v>
      </c>
      <c r="I5" s="191"/>
    </row>
    <row r="6" spans="1:9" x14ac:dyDescent="0.2">
      <c r="A6" s="31">
        <v>2100</v>
      </c>
      <c r="B6" t="s">
        <v>793</v>
      </c>
      <c r="C6" s="205">
        <f t="shared" si="0"/>
        <v>285938.15999999997</v>
      </c>
      <c r="D6" s="19">
        <f>'DOE25'!L203+'DOE25'!L221+'DOE25'!L239-F6-G6-H6</f>
        <v>281735.71999999997</v>
      </c>
      <c r="E6" s="179"/>
      <c r="F6" s="180"/>
      <c r="G6" s="19">
        <f>'DOE25'!J203+'DOE25'!J221+'DOE25'!J239</f>
        <v>0</v>
      </c>
      <c r="H6" s="19">
        <f>'DOE25'!K203+'DOE25'!K221+'DOE25'!K239</f>
        <v>4202.4400000000005</v>
      </c>
      <c r="I6" s="191"/>
    </row>
    <row r="7" spans="1:9" x14ac:dyDescent="0.2">
      <c r="A7" s="31">
        <v>2200</v>
      </c>
      <c r="B7" t="s">
        <v>817</v>
      </c>
      <c r="C7" s="205">
        <f t="shared" si="0"/>
        <v>76182.639999999985</v>
      </c>
      <c r="D7" s="19">
        <f>'DOE25'!L204+'DOE25'!L222+'DOE25'!L240-F7-G7-H7</f>
        <v>68353.319999999978</v>
      </c>
      <c r="E7" s="179"/>
      <c r="F7" s="180"/>
      <c r="G7" s="19">
        <f>'DOE25'!J204+'DOE25'!J222+'DOE25'!J240</f>
        <v>0</v>
      </c>
      <c r="H7" s="19">
        <f>'DOE25'!K204+'DOE25'!K222+'DOE25'!K240</f>
        <v>7829.32</v>
      </c>
      <c r="I7" s="191"/>
    </row>
    <row r="8" spans="1:9" x14ac:dyDescent="0.2">
      <c r="A8" s="31">
        <v>2300</v>
      </c>
      <c r="B8" t="s">
        <v>794</v>
      </c>
      <c r="C8" s="205">
        <f t="shared" si="0"/>
        <v>392237.69</v>
      </c>
      <c r="D8" s="179"/>
      <c r="E8" s="19">
        <f>'DOE25'!L205+'DOE25'!L223+'DOE25'!L241-F8-G8-H8-D9-D11</f>
        <v>386012.79</v>
      </c>
      <c r="F8" s="180"/>
      <c r="G8" s="19">
        <f>'DOE25'!J205+'DOE25'!J223+'DOE25'!J241</f>
        <v>0</v>
      </c>
      <c r="H8" s="19">
        <f>'DOE25'!K205+'DOE25'!K223+'DOE25'!K241</f>
        <v>6224.9</v>
      </c>
      <c r="I8" s="191"/>
    </row>
    <row r="9" spans="1:9" ht="14.25" x14ac:dyDescent="0.2">
      <c r="A9" s="31">
        <v>2310</v>
      </c>
      <c r="B9" s="71" t="s">
        <v>884</v>
      </c>
      <c r="C9" s="205">
        <f t="shared" si="0"/>
        <v>30004</v>
      </c>
      <c r="D9" s="180">
        <f>30004</f>
        <v>30004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246887.66</v>
      </c>
      <c r="D12" s="19">
        <f>'DOE25'!L206+'DOE25'!L224+'DOE25'!L242-F12-G12-H12</f>
        <v>244412.66</v>
      </c>
      <c r="E12" s="179"/>
      <c r="F12" s="180"/>
      <c r="G12" s="19">
        <f>'DOE25'!J206+'DOE25'!J224+'DOE25'!J242</f>
        <v>0</v>
      </c>
      <c r="H12" s="19">
        <f>'DOE25'!K206+'DOE25'!K224+'DOE25'!K242</f>
        <v>2475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459049.18</v>
      </c>
      <c r="D14" s="19">
        <f>'DOE25'!L208+'DOE25'!L226+'DOE25'!L244-F14-G14-H14</f>
        <v>338552.23000000004</v>
      </c>
      <c r="E14" s="179"/>
      <c r="F14" s="180">
        <f>24527.66+94724</f>
        <v>119251.66</v>
      </c>
      <c r="G14" s="19">
        <f>'DOE25'!J208+'DOE25'!J226+'DOE25'!J244</f>
        <v>705.04</v>
      </c>
      <c r="H14" s="19">
        <f>'DOE25'!K208+'DOE25'!K226+'DOE25'!K244</f>
        <v>540.25</v>
      </c>
      <c r="I14" s="191"/>
    </row>
    <row r="15" spans="1:9" x14ac:dyDescent="0.2">
      <c r="A15" s="31">
        <v>2700</v>
      </c>
      <c r="B15" t="s">
        <v>796</v>
      </c>
      <c r="C15" s="205">
        <f t="shared" si="0"/>
        <v>103319.87000000001</v>
      </c>
      <c r="D15" s="19">
        <f>'DOE25'!L209+'DOE25'!L227+'DOE25'!L245-F15-G15-H15</f>
        <v>101485.22000000002</v>
      </c>
      <c r="E15" s="179"/>
      <c r="F15" s="180"/>
      <c r="G15" s="19">
        <f>'DOE25'!J209+'DOE25'!J227+'DOE25'!J245</f>
        <v>1081.54</v>
      </c>
      <c r="H15" s="19">
        <f>'DOE25'!K209+'DOE25'!K227+'DOE25'!K245</f>
        <v>753.11</v>
      </c>
      <c r="I15" s="191"/>
    </row>
    <row r="16" spans="1:9" x14ac:dyDescent="0.2">
      <c r="A16" s="31">
        <v>2800</v>
      </c>
      <c r="B16" t="s">
        <v>797</v>
      </c>
      <c r="C16" s="205">
        <f t="shared" si="0"/>
        <v>59250.62</v>
      </c>
      <c r="D16" s="179"/>
      <c r="E16" s="19">
        <f>'DOE25'!L210+'DOE25'!L228+'DOE25'!L246-F16-G16-H16</f>
        <v>32304.510000000002</v>
      </c>
      <c r="F16" s="180"/>
      <c r="G16" s="19">
        <f>'DOE25'!J210+'DOE25'!J228+'DOE25'!J246</f>
        <v>26946.11</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65597</v>
      </c>
      <c r="D22" s="179"/>
      <c r="E22" s="179"/>
      <c r="F22" s="179"/>
      <c r="G22" s="19">
        <f>'DOE25'!L256+'DOE25'!L337</f>
        <v>65597</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53515.700000000012</v>
      </c>
      <c r="D29" s="211">
        <f>'DOE25'!L359+'DOE25'!L360+'DOE25'!L361-'DOE25'!I368-F29-G29-H29-F39</f>
        <v>44267.700000000012</v>
      </c>
      <c r="E29" s="179"/>
      <c r="F29" s="179"/>
      <c r="G29" s="19">
        <f>'DOE25'!J359+'DOE25'!J360+'DOE25'!J361</f>
        <v>9248</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182532.81</v>
      </c>
      <c r="D31" s="19">
        <f>'DOE25'!L291+'DOE25'!L310+'DOE25'!L329+'DOE25'!L334+'DOE25'!L335+'DOE25'!L336-F31-G31-H31</f>
        <v>150962.29</v>
      </c>
      <c r="E31" s="179"/>
      <c r="F31" s="180"/>
      <c r="G31" s="19">
        <f>'DOE25'!J291+'DOE25'!J310+'DOE25'!J329+'DOE25'!J334+'DOE25'!J335+'DOE25'!J336</f>
        <v>25544.409999999996</v>
      </c>
      <c r="H31" s="19">
        <f>'DOE25'!K291+'DOE25'!K310+'DOE25'!K329+'DOE25'!K334+'DOE25'!K335+'DOE25'!K336</f>
        <v>6026.11</v>
      </c>
      <c r="I31" s="191"/>
    </row>
    <row r="32" spans="1:9" ht="12" thickBot="1" x14ac:dyDescent="0.25">
      <c r="C32" s="206"/>
      <c r="G32" s="187"/>
      <c r="H32" s="187"/>
      <c r="I32" s="193"/>
    </row>
    <row r="33" spans="1:9" ht="12" thickTop="1" x14ac:dyDescent="0.2">
      <c r="B33" t="s">
        <v>806</v>
      </c>
      <c r="D33" s="181">
        <f t="shared" ref="D33:I33" si="1">SUM(D5:D31)</f>
        <v>2887095.5000000009</v>
      </c>
      <c r="E33" s="181">
        <f t="shared" si="1"/>
        <v>418317.3</v>
      </c>
      <c r="F33" s="181">
        <f t="shared" si="1"/>
        <v>119251.66</v>
      </c>
      <c r="G33" s="181">
        <f t="shared" si="1"/>
        <v>131066.98000000001</v>
      </c>
      <c r="H33" s="181">
        <f t="shared" si="1"/>
        <v>67139.759999999995</v>
      </c>
      <c r="I33" s="181">
        <f t="shared" si="1"/>
        <v>0</v>
      </c>
    </row>
    <row r="34" spans="1:9" ht="12" thickBot="1" x14ac:dyDescent="0.25"/>
    <row r="35" spans="1:9" ht="12" thickBot="1" x14ac:dyDescent="0.25">
      <c r="B35" s="187" t="s">
        <v>827</v>
      </c>
      <c r="D35" s="188">
        <f>E33</f>
        <v>418317.3</v>
      </c>
      <c r="E35" s="184"/>
      <c r="F35" s="294" t="s">
        <v>1596</v>
      </c>
      <c r="G35" s="295"/>
      <c r="H35" s="295"/>
      <c r="I35" s="296"/>
    </row>
    <row r="36" spans="1:9" ht="12" thickTop="1" x14ac:dyDescent="0.2">
      <c r="B36" t="s">
        <v>807</v>
      </c>
      <c r="D36" s="19">
        <f>D33</f>
        <v>2887095.5000000009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17896.060000000001</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topLeftCell="A7" zoomScale="77" zoomScaleNormal="77" workbookViewId="0">
      <selection activeCell="A16" sqref="A1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Pittsburg</v>
      </c>
      <c r="B2">
        <f>'DOE25'!B2</f>
        <v>437</v>
      </c>
      <c r="J2" s="223" t="s">
        <v>1799</v>
      </c>
      <c r="K2" s="308">
        <f>SUM('DOE25'!L198:L201)+SUM('DOE25'!L277:L280)</f>
        <v>1112255.1399999999</v>
      </c>
      <c r="L2" s="308">
        <f>'DOE25'!L203+'DOE25'!L282</f>
        <v>184193.68999999997</v>
      </c>
      <c r="M2" s="308">
        <f>'DOE25'!L204+'DOE25'!L283</f>
        <v>83108.859999999986</v>
      </c>
      <c r="N2" s="308">
        <f>'DOE25'!L206+'DOE25'!L285</f>
        <v>123914.28</v>
      </c>
      <c r="O2" s="316">
        <f>'Salaries-Benefits'!B10+'Salaries-Benefits'!B12+'Salaries-Benefits'!B19+'Salaries-Benefits'!B21+'Salaries-Benefits'!B28+'Salaries-Benefits'!B30+'Salaries-Benefits'!B37+'Salaries-Benefits'!B39</f>
        <v>925403.51</v>
      </c>
      <c r="P2" s="316">
        <f>'Salaries-Benefits'!B11+'Salaries-Benefits'!B20+'Salaries-Benefits'!B29+'Salaries-Benefits'!B38</f>
        <v>103338.38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2073409.8199999998</v>
      </c>
      <c r="G4" s="228">
        <f>'DOE25'!L212+'DOE25'!L291</f>
        <v>2073409.82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Pittsburg School (Elem)</v>
      </c>
      <c r="B6" s="229">
        <f>IFERROR(VLOOKUP(A6,'School Tables'!$C$3:$D$365,2,FALSE),"")</f>
        <v>20205</v>
      </c>
      <c r="C6" s="222" t="str">
        <f>IFERROR(INDEX('School Tables'!$B$3:$B$365,MATCH('School Level Expenditures'!B6,'School Tables'!$D$3:$D$365,0)),"")</f>
        <v>Pittsburg</v>
      </c>
      <c r="D6" s="219">
        <f>1931437.41</f>
        <v>1931437.41</v>
      </c>
      <c r="E6" s="219">
        <f>141972.41</f>
        <v>141972.41</v>
      </c>
      <c r="F6" s="231">
        <f t="shared" ref="F6:F20" si="2">D6+E6</f>
        <v>2073409.8199999998</v>
      </c>
      <c r="G6" s="222"/>
      <c r="H6" s="222"/>
      <c r="J6" t="str">
        <f t="shared" ref="J6:J20" si="3">A6</f>
        <v>Pittsburg School (Elem)</v>
      </c>
      <c r="K6" s="20">
        <f>1112255.14</f>
        <v>1112255.1399999999</v>
      </c>
      <c r="L6" s="20">
        <f>184193.69</f>
        <v>184193.69</v>
      </c>
      <c r="M6" s="307">
        <f>83108.86</f>
        <v>83108.86</v>
      </c>
      <c r="N6" s="20">
        <f>123914.28</f>
        <v>123914.28</v>
      </c>
      <c r="O6" s="20">
        <f>570098.71-1075-162.5-900-531+25325</f>
        <v>592755.21</v>
      </c>
      <c r="P6" s="20">
        <f>77947.96-25325</f>
        <v>52622.960000000006</v>
      </c>
      <c r="Q6" s="20">
        <f>4537.45+681.56</f>
        <v>5219.01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1931437.41</v>
      </c>
      <c r="E21" s="261">
        <f>SUM(E5:E20)</f>
        <v>141972.41</v>
      </c>
      <c r="F21" s="216"/>
      <c r="G21" s="216"/>
      <c r="H21" s="216"/>
      <c r="K21" s="262">
        <f t="shared" ref="K21:Q21" si="4">SUM(K5:K20)</f>
        <v>1112255.1399999999</v>
      </c>
      <c r="L21" s="262">
        <f t="shared" si="4"/>
        <v>184193.69</v>
      </c>
      <c r="M21" s="262">
        <f t="shared" si="4"/>
        <v>83108.86</v>
      </c>
      <c r="N21" s="262">
        <f t="shared" si="4"/>
        <v>123914.28</v>
      </c>
      <c r="O21" s="262">
        <f t="shared" si="4"/>
        <v>592755.21</v>
      </c>
      <c r="P21" s="262">
        <f t="shared" si="4"/>
        <v>52622.960000000006</v>
      </c>
      <c r="Q21" s="262">
        <f t="shared" si="4"/>
        <v>5219.01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632606.67999999993</v>
      </c>
      <c r="L36" s="19">
        <f>'DOE25'!L239+'DOE25'!L320</f>
        <v>133959.01999999999</v>
      </c>
      <c r="M36" s="19">
        <f>'DOE25'!L240+'DOE25'!L321</f>
        <v>39384.58</v>
      </c>
      <c r="N36" s="19">
        <f>'DOE25'!L242+'DOE25'!L323</f>
        <v>122973.38</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1430348.68</v>
      </c>
      <c r="G38" s="228">
        <f>'DOE25'!L248+'DOE25'!L329</f>
        <v>1430348.68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14237</f>
        <v>14237</v>
      </c>
      <c r="E39" s="219"/>
      <c r="F39" s="231">
        <f t="shared" ref="F39:F44" si="10">D39+E39</f>
        <v>14237</v>
      </c>
      <c r="G39" s="222"/>
      <c r="H39" s="222"/>
      <c r="J39" s="71" t="s">
        <v>1840</v>
      </c>
      <c r="K39" s="315">
        <f>14237</f>
        <v>14237</v>
      </c>
      <c r="L39" s="315"/>
      <c r="M39" s="315"/>
      <c r="N39" s="315"/>
      <c r="O39" s="315"/>
      <c r="P39" s="315"/>
      <c r="Q39" s="315"/>
    </row>
    <row r="40" spans="1:17" x14ac:dyDescent="0.2">
      <c r="A40" t="str" cm="1">
        <f t="array" ref="A40">IFERROR(INDEX('School Tables'!$W$4:$AC$120,'School Tables'!$AF4,3),"")</f>
        <v>Pittsburg School (High)</v>
      </c>
      <c r="B40" s="229">
        <f>IFERROR(VLOOKUP(A40,'School Tables'!$Y$4:$Z$120,2,FALSE),"")</f>
        <v>26500</v>
      </c>
      <c r="C40" s="222" t="str">
        <f>IFERROR(INDEX('School Tables'!$X$4:$X$120,MATCH('School Level Expenditures'!A40,'School Tables'!$Y$4:$Y$120,0)),"")</f>
        <v>Pittsburg</v>
      </c>
      <c r="D40" s="219">
        <f>1389788.28-D39</f>
        <v>1375551.28</v>
      </c>
      <c r="E40" s="219">
        <f>40560.4</f>
        <v>40560.400000000001</v>
      </c>
      <c r="F40" s="231">
        <f t="shared" si="10"/>
        <v>1416111.68</v>
      </c>
      <c r="G40" s="222"/>
      <c r="H40" s="222"/>
      <c r="J40" t="str">
        <f>A40</f>
        <v>Pittsburg School (High)</v>
      </c>
      <c r="K40" s="20">
        <v>618369.68000000005</v>
      </c>
      <c r="L40" s="20">
        <v>133959.01999999999</v>
      </c>
      <c r="M40" s="307">
        <v>39384.58</v>
      </c>
      <c r="N40" s="20">
        <v>122973.38</v>
      </c>
      <c r="O40" s="20">
        <f>332648.3</f>
        <v>332648.3</v>
      </c>
      <c r="P40" s="20">
        <f>50715.42</f>
        <v>50715.42</v>
      </c>
      <c r="Q40" s="20">
        <f>1928.67+358.77</f>
        <v>2287.44</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1389788.28</v>
      </c>
      <c r="E45" s="262">
        <f>SUM(E39:E44)</f>
        <v>40560.400000000001</v>
      </c>
      <c r="K45" s="262">
        <f t="shared" ref="K45:Q45" si="11">SUM(K39:K44)</f>
        <v>632606.68000000005</v>
      </c>
      <c r="L45" s="262">
        <f t="shared" si="11"/>
        <v>133959.01999999999</v>
      </c>
      <c r="M45" s="262">
        <f t="shared" si="11"/>
        <v>39384.58</v>
      </c>
      <c r="N45" s="262">
        <f t="shared" si="11"/>
        <v>122973.38</v>
      </c>
      <c r="O45" s="262">
        <f t="shared" si="11"/>
        <v>332648.3</v>
      </c>
      <c r="P45" s="262">
        <f t="shared" si="11"/>
        <v>50715.42</v>
      </c>
      <c r="Q45" s="262">
        <f t="shared" si="11"/>
        <v>2287.44</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38" fitToHeight="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Pittsburg</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358832.58</v>
      </c>
      <c r="D8" s="73">
        <f>'DOE25'!G9</f>
        <v>163138.51</v>
      </c>
      <c r="E8" s="73">
        <f>'DOE25'!H9</f>
        <v>0</v>
      </c>
      <c r="F8" s="73">
        <f>'DOE25'!I9</f>
        <v>0</v>
      </c>
      <c r="G8" s="73">
        <f>'DOE25'!J9</f>
        <v>635108.5</v>
      </c>
      <c r="H8" s="13">
        <f>SUM(C8:G8)</f>
        <v>1157079.5900000001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226600.92</v>
      </c>
      <c r="D11" s="73">
        <f>'DOE25'!G12</f>
        <v>0</v>
      </c>
      <c r="E11" s="73">
        <f>'DOE25'!H12</f>
        <v>10381.59</v>
      </c>
      <c r="F11" s="73">
        <f>'DOE25'!I12</f>
        <v>0</v>
      </c>
      <c r="G11" s="73">
        <f>'DOE25'!J12</f>
        <v>0</v>
      </c>
      <c r="H11" s="13">
        <f t="shared" si="0"/>
        <v>236982.51</v>
      </c>
      <c r="I11" s="90"/>
    </row>
    <row r="12" spans="1:9" x14ac:dyDescent="0.2">
      <c r="A12" s="1" t="s">
        <v>143</v>
      </c>
      <c r="B12" s="6">
        <v>140</v>
      </c>
      <c r="C12" s="73">
        <f>'DOE25'!F13</f>
        <v>147941.74</v>
      </c>
      <c r="D12" s="73">
        <f>'DOE25'!G13</f>
        <v>4203.7299999999996</v>
      </c>
      <c r="E12" s="73">
        <f>'DOE25'!H13</f>
        <v>91532.08</v>
      </c>
      <c r="F12" s="73">
        <f>'DOE25'!I13</f>
        <v>0</v>
      </c>
      <c r="G12" s="73">
        <f>'DOE25'!J13</f>
        <v>0</v>
      </c>
      <c r="H12" s="13">
        <f t="shared" si="0"/>
        <v>243677.55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1104.5899999999999</v>
      </c>
      <c r="E15" s="73">
        <f>'DOE25'!H16</f>
        <v>0</v>
      </c>
      <c r="F15" s="73">
        <f>'DOE25'!I16</f>
        <v>0</v>
      </c>
      <c r="G15" s="23" t="s">
        <v>288</v>
      </c>
      <c r="H15" s="13">
        <f t="shared" si="0"/>
        <v>1104.5899999999999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733375.24</v>
      </c>
      <c r="D18" s="38">
        <f>SUM(D8:D17)</f>
        <v>168446.83000000002</v>
      </c>
      <c r="E18" s="38">
        <f>SUM(E8:E17)</f>
        <v>101913.67</v>
      </c>
      <c r="F18" s="38">
        <f>SUM(F8:F17)</f>
        <v>0</v>
      </c>
      <c r="G18" s="38">
        <f>SUM(G8:G17)</f>
        <v>635108.5</v>
      </c>
      <c r="H18" s="38">
        <f t="shared" si="0"/>
        <v>1638844.2400000002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148546.84</v>
      </c>
      <c r="E21" s="73">
        <f>'DOE25'!H22</f>
        <v>88435.67</v>
      </c>
      <c r="F21" s="73">
        <f>'DOE25'!I22</f>
        <v>0</v>
      </c>
      <c r="G21" s="73">
        <f>'DOE25'!J22</f>
        <v>0</v>
      </c>
      <c r="H21" s="13">
        <f t="shared" ref="H21:H31" si="1">SUM(C21:G21)</f>
        <v>236982.51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137850.96</v>
      </c>
      <c r="D23" s="73">
        <f>'DOE25'!G24</f>
        <v>5967.3200000000006</v>
      </c>
      <c r="E23" s="73">
        <f>'DOE25'!H24</f>
        <v>3079.01</v>
      </c>
      <c r="F23" s="73">
        <f>'DOE25'!I24</f>
        <v>0</v>
      </c>
      <c r="G23" s="73">
        <f>'DOE25'!J24</f>
        <v>0</v>
      </c>
      <c r="H23" s="13">
        <f t="shared" si="1"/>
        <v>146897.29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7148.11</v>
      </c>
      <c r="D27" s="73">
        <f>'DOE25'!G28</f>
        <v>0</v>
      </c>
      <c r="E27" s="73">
        <f>'DOE25'!H28</f>
        <v>0</v>
      </c>
      <c r="F27" s="73">
        <f>'DOE25'!I28</f>
        <v>0</v>
      </c>
      <c r="G27" s="23" t="s">
        <v>288</v>
      </c>
      <c r="H27" s="13">
        <f t="shared" si="1"/>
        <v>7148.11</v>
      </c>
      <c r="I27" s="90"/>
    </row>
    <row r="28" spans="1:9" x14ac:dyDescent="0.2">
      <c r="A28" s="1" t="s">
        <v>157</v>
      </c>
      <c r="B28" s="6">
        <v>470</v>
      </c>
      <c r="C28" s="73">
        <f>'DOE25'!F29</f>
        <v>801.4</v>
      </c>
      <c r="D28" s="73">
        <f>'DOE25'!G29</f>
        <v>0</v>
      </c>
      <c r="E28" s="73">
        <f>'DOE25'!H29</f>
        <v>0</v>
      </c>
      <c r="F28" s="73">
        <f>'DOE25'!I29</f>
        <v>0</v>
      </c>
      <c r="G28" s="23" t="s">
        <v>288</v>
      </c>
      <c r="H28" s="13">
        <f t="shared" si="1"/>
        <v>801.4</v>
      </c>
      <c r="I28" s="90"/>
    </row>
    <row r="29" spans="1:9" x14ac:dyDescent="0.2">
      <c r="A29" s="1" t="s">
        <v>158</v>
      </c>
      <c r="B29" s="6">
        <v>480</v>
      </c>
      <c r="C29" s="73">
        <f>'DOE25'!F30</f>
        <v>0</v>
      </c>
      <c r="D29" s="73">
        <f>'DOE25'!G30</f>
        <v>6021.6</v>
      </c>
      <c r="E29" s="73">
        <f>'DOE25'!H30</f>
        <v>10398.990000000002</v>
      </c>
      <c r="F29" s="73">
        <f>'DOE25'!I30</f>
        <v>0</v>
      </c>
      <c r="G29" s="23" t="s">
        <v>288</v>
      </c>
      <c r="H29" s="13">
        <f t="shared" si="1"/>
        <v>16420.590000000004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145800.46999999997</v>
      </c>
      <c r="D31" s="38">
        <f>SUM(D21:D30)</f>
        <v>160535.76</v>
      </c>
      <c r="E31" s="38">
        <f>SUM(E21:E30)</f>
        <v>101913.67</v>
      </c>
      <c r="F31" s="38">
        <f>SUM(F21:F30)</f>
        <v>0</v>
      </c>
      <c r="G31" s="38">
        <f>SUM(G21:G30)</f>
        <v>0</v>
      </c>
      <c r="H31" s="38">
        <f t="shared" si="1"/>
        <v>408249.89999999997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1104.5899999999999</v>
      </c>
      <c r="E34" s="73">
        <f>'DOE25'!H35</f>
        <v>0</v>
      </c>
      <c r="F34" s="73">
        <f>'DOE25'!I35</f>
        <v>0</v>
      </c>
      <c r="G34" s="23" t="s">
        <v>288</v>
      </c>
      <c r="H34" s="13">
        <f t="shared" ref="H34:H51" si="2">SUM(C34:G34)</f>
        <v>1104.5899999999999</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144353.9</v>
      </c>
      <c r="D45" s="23" t="s">
        <v>288</v>
      </c>
      <c r="E45" s="23" t="s">
        <v>288</v>
      </c>
      <c r="F45" s="23" t="s">
        <v>288</v>
      </c>
      <c r="G45" s="23" t="s">
        <v>288</v>
      </c>
      <c r="H45" s="13">
        <f t="shared" si="2"/>
        <v>144353.9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6806.48</v>
      </c>
      <c r="E47" s="73">
        <f>'DOE25'!H48</f>
        <v>0</v>
      </c>
      <c r="F47" s="73">
        <f>'DOE25'!I48</f>
        <v>0</v>
      </c>
      <c r="G47" s="73">
        <f>'DOE25'!J48</f>
        <v>635108.5</v>
      </c>
      <c r="H47" s="13">
        <f t="shared" si="2"/>
        <v>641914.98</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443220.87</v>
      </c>
      <c r="D49" s="23" t="s">
        <v>288</v>
      </c>
      <c r="E49" s="23" t="s">
        <v>288</v>
      </c>
      <c r="F49" s="23" t="s">
        <v>288</v>
      </c>
      <c r="G49" s="23" t="s">
        <v>288</v>
      </c>
      <c r="H49" s="13">
        <f t="shared" si="2"/>
        <v>443220.87</v>
      </c>
      <c r="I49" s="90"/>
    </row>
    <row r="50" spans="1:9" ht="12.75" thickTop="1" thickBot="1" x14ac:dyDescent="0.25">
      <c r="A50" s="35" t="s">
        <v>880</v>
      </c>
      <c r="B50" s="44"/>
      <c r="C50" s="38">
        <f>SUM(C34:C49)</f>
        <v>587574.77</v>
      </c>
      <c r="D50" s="38">
        <f>SUM(D34:D49)</f>
        <v>7911.07</v>
      </c>
      <c r="E50" s="38">
        <f>SUM(E34:E49)</f>
        <v>0</v>
      </c>
      <c r="F50" s="38">
        <f>SUM(F34:F49)</f>
        <v>0</v>
      </c>
      <c r="G50" s="38">
        <f>SUM(G34:G49)</f>
        <v>635108.5</v>
      </c>
      <c r="H50" s="38">
        <f t="shared" si="2"/>
        <v>1230594.3399999999</v>
      </c>
      <c r="I50" s="90"/>
    </row>
    <row r="51" spans="1:9" ht="12" thickTop="1" x14ac:dyDescent="0.2">
      <c r="A51" s="35" t="s">
        <v>881</v>
      </c>
      <c r="B51" s="2"/>
      <c r="C51" s="38">
        <f>C50+C31</f>
        <v>733375.24</v>
      </c>
      <c r="D51" s="38">
        <f>D50+D31</f>
        <v>168446.83000000002</v>
      </c>
      <c r="E51" s="38">
        <f>E50+E31</f>
        <v>101913.67</v>
      </c>
      <c r="F51" s="38">
        <f>F50+F31</f>
        <v>0</v>
      </c>
      <c r="G51" s="38">
        <f>G50+G31</f>
        <v>635108.5</v>
      </c>
      <c r="H51" s="38">
        <f t="shared" si="2"/>
        <v>1638844.2400000002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2252708</v>
      </c>
      <c r="D56" s="73">
        <f>'DOE25'!G60</f>
        <v>0</v>
      </c>
      <c r="E56" s="73">
        <f>'DOE25'!H60</f>
        <v>0</v>
      </c>
      <c r="F56" s="73">
        <f>'DOE25'!I60</f>
        <v>0</v>
      </c>
      <c r="G56" s="73">
        <f>'DOE25'!J60</f>
        <v>0</v>
      </c>
      <c r="H56" s="13">
        <f t="shared" ref="H56:H63" si="3">SUM(C56:G56)</f>
        <v>2252708</v>
      </c>
      <c r="I56"/>
    </row>
    <row r="57" spans="1:9" x14ac:dyDescent="0.2">
      <c r="A57" s="1" t="s">
        <v>164</v>
      </c>
      <c r="B57" s="6" t="s">
        <v>165</v>
      </c>
      <c r="C57" s="73">
        <f>'DOE25'!F79</f>
        <v>497525.88</v>
      </c>
      <c r="D57" s="23" t="s">
        <v>288</v>
      </c>
      <c r="E57" s="73">
        <f>'DOE25'!H79</f>
        <v>0</v>
      </c>
      <c r="F57" s="23" t="s">
        <v>288</v>
      </c>
      <c r="G57" s="23" t="s">
        <v>288</v>
      </c>
      <c r="H57" s="13">
        <f t="shared" si="3"/>
        <v>497525.88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32895.760000000002</v>
      </c>
      <c r="H59" s="13">
        <f t="shared" si="3"/>
        <v>32895.760000000002</v>
      </c>
      <c r="I59"/>
    </row>
    <row r="60" spans="1:9" x14ac:dyDescent="0.2">
      <c r="A60" s="1" t="s">
        <v>170</v>
      </c>
      <c r="B60" s="22" t="s">
        <v>171</v>
      </c>
      <c r="C60" s="23" t="s">
        <v>288</v>
      </c>
      <c r="D60" s="73">
        <f>'DOE25'!G97</f>
        <v>21247.119999999999</v>
      </c>
      <c r="E60" s="23" t="s">
        <v>288</v>
      </c>
      <c r="F60" s="23" t="s">
        <v>288</v>
      </c>
      <c r="G60" s="23" t="s">
        <v>288</v>
      </c>
      <c r="H60" s="13">
        <f t="shared" si="3"/>
        <v>21247.119999999999</v>
      </c>
      <c r="I60"/>
    </row>
    <row r="61" spans="1:9" ht="12" thickBot="1" x14ac:dyDescent="0.25">
      <c r="A61" s="1" t="s">
        <v>172</v>
      </c>
      <c r="B61" s="22" t="s">
        <v>173</v>
      </c>
      <c r="C61" s="73">
        <f>SUM('DOE25'!F98:F110)</f>
        <v>99378.83</v>
      </c>
      <c r="D61" s="73">
        <f>SUM('DOE25'!G98:G110)</f>
        <v>0</v>
      </c>
      <c r="E61" s="73">
        <f>SUM('DOE25'!H98:H110)</f>
        <v>520.53</v>
      </c>
      <c r="F61" s="73">
        <f>SUM('DOE25'!I98:I110)</f>
        <v>0</v>
      </c>
      <c r="G61" s="73">
        <f>SUM('DOE25'!J98:J110)</f>
        <v>0</v>
      </c>
      <c r="H61" s="13">
        <f t="shared" si="3"/>
        <v>99899.36</v>
      </c>
      <c r="I61"/>
    </row>
    <row r="62" spans="1:9" ht="12.75" thickTop="1" thickBot="1" x14ac:dyDescent="0.25">
      <c r="A62" s="28" t="s">
        <v>174</v>
      </c>
      <c r="B62" s="6"/>
      <c r="C62" s="93">
        <f>SUM(C57:C61)</f>
        <v>596904.71</v>
      </c>
      <c r="D62" s="93">
        <f>SUM(D57:D61)</f>
        <v>21247.119999999999</v>
      </c>
      <c r="E62" s="93">
        <f>SUM(E57:E61)</f>
        <v>520.53</v>
      </c>
      <c r="F62" s="93">
        <f>SUM(F57:F61)</f>
        <v>0</v>
      </c>
      <c r="G62" s="93">
        <f>SUM(G57:G61)</f>
        <v>32895.760000000002</v>
      </c>
      <c r="H62" s="13">
        <f t="shared" si="3"/>
        <v>651568.12</v>
      </c>
      <c r="I62"/>
    </row>
    <row r="63" spans="1:9" ht="12" thickTop="1" x14ac:dyDescent="0.2">
      <c r="A63" s="28" t="s">
        <v>175</v>
      </c>
      <c r="B63" s="6"/>
      <c r="C63" s="21">
        <f>C56+C62</f>
        <v>2849612.71</v>
      </c>
      <c r="D63" s="21">
        <f>D56+D62</f>
        <v>21247.119999999999</v>
      </c>
      <c r="E63" s="21">
        <f>E56+E62</f>
        <v>520.53</v>
      </c>
      <c r="F63" s="21">
        <f>F56+F62</f>
        <v>0</v>
      </c>
      <c r="G63" s="21">
        <f>G56+G62</f>
        <v>32895.760000000002</v>
      </c>
      <c r="H63" s="13">
        <f t="shared" si="3"/>
        <v>2904276.1199999996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634370</v>
      </c>
      <c r="D67" s="23"/>
      <c r="E67" s="23"/>
      <c r="F67" s="23"/>
      <c r="G67" s="23"/>
      <c r="H67" s="13">
        <f t="shared" si="4"/>
        <v>634370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7488.37</v>
      </c>
      <c r="F69" s="73">
        <f>'DOE25'!I120</f>
        <v>0</v>
      </c>
      <c r="G69" s="73">
        <f>'DOE25'!J120</f>
        <v>0</v>
      </c>
      <c r="H69" s="13">
        <f t="shared" si="4"/>
        <v>7488.37</v>
      </c>
      <c r="I69"/>
    </row>
    <row r="70" spans="1:9" ht="12" thickTop="1" x14ac:dyDescent="0.2">
      <c r="A70" s="28" t="s">
        <v>252</v>
      </c>
      <c r="B70" s="2"/>
      <c r="C70" s="97">
        <f>SUM(C66:C69)</f>
        <v>634370</v>
      </c>
      <c r="D70" s="97">
        <f>D69</f>
        <v>0</v>
      </c>
      <c r="E70" s="97">
        <f>E69</f>
        <v>7488.37</v>
      </c>
      <c r="F70" s="97">
        <f>F69</f>
        <v>0</v>
      </c>
      <c r="G70" s="97">
        <f>G69</f>
        <v>0</v>
      </c>
      <c r="H70" s="13">
        <f t="shared" si="4"/>
        <v>641858.37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2582.04</v>
      </c>
      <c r="D76" s="23" t="s">
        <v>288</v>
      </c>
      <c r="E76" s="73">
        <f>SUM('DOE25'!H127:H130)</f>
        <v>0</v>
      </c>
      <c r="F76" s="73">
        <f>SUM('DOE25'!I127:I130)</f>
        <v>0</v>
      </c>
      <c r="G76" s="23" t="s">
        <v>288</v>
      </c>
      <c r="H76" s="13">
        <f t="shared" si="4"/>
        <v>2582.04</v>
      </c>
      <c r="I76"/>
    </row>
    <row r="77" spans="1:9" ht="12" thickBot="1" x14ac:dyDescent="0.25">
      <c r="A77" s="1" t="s">
        <v>258</v>
      </c>
      <c r="B77" s="6" t="s">
        <v>180</v>
      </c>
      <c r="C77" s="73">
        <f>SUM('DOE25'!F131:F135)</f>
        <v>0</v>
      </c>
      <c r="D77" s="73">
        <f>SUM('DOE25'!G131:G135)</f>
        <v>187.35</v>
      </c>
      <c r="E77" s="73">
        <f>SUM('DOE25'!H131:H135)</f>
        <v>0</v>
      </c>
      <c r="F77" s="73">
        <f>SUM('DOE25'!I131:I135)</f>
        <v>0</v>
      </c>
      <c r="G77" s="73">
        <f>SUM('DOE25'!J131:J135)</f>
        <v>0</v>
      </c>
      <c r="H77" s="13">
        <f t="shared" si="4"/>
        <v>187.35</v>
      </c>
      <c r="I77"/>
    </row>
    <row r="78" spans="1:9" ht="12.75" thickTop="1" thickBot="1" x14ac:dyDescent="0.25">
      <c r="A78" s="28" t="s">
        <v>259</v>
      </c>
      <c r="B78" s="6"/>
      <c r="C78" s="93">
        <f>SUM(C72:C77)</f>
        <v>2582.04</v>
      </c>
      <c r="D78" s="93">
        <f>SUM(D72:D77)</f>
        <v>187.35</v>
      </c>
      <c r="E78" s="93">
        <f>SUM(E72:E77)</f>
        <v>0</v>
      </c>
      <c r="F78" s="93">
        <f>SUM(F72:F77)</f>
        <v>0</v>
      </c>
      <c r="G78" s="93">
        <f>SUM(G72:G77)</f>
        <v>0</v>
      </c>
      <c r="H78" s="13">
        <f t="shared" si="4"/>
        <v>2769.39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636952.04</v>
      </c>
      <c r="D81" s="93">
        <f>SUM(D79:D80)+D78+D70</f>
        <v>187.35</v>
      </c>
      <c r="E81" s="93">
        <f>SUM(E79:E80)+E78+E70</f>
        <v>7488.37</v>
      </c>
      <c r="F81" s="93">
        <f>SUM(F79:F80)+F78+F70</f>
        <v>0</v>
      </c>
      <c r="G81" s="93">
        <f>SUM(G79:G80)+G78+G70</f>
        <v>0</v>
      </c>
      <c r="H81" s="93">
        <f t="shared" si="4"/>
        <v>644627.76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26604.079999999998</v>
      </c>
      <c r="E88" s="252">
        <f>SUM('DOE25'!H153:H162)</f>
        <v>240120.91000000003</v>
      </c>
      <c r="F88" s="252">
        <f>SUM('DOE25'!I153:I162)</f>
        <v>0</v>
      </c>
      <c r="G88" s="23" t="s">
        <v>288</v>
      </c>
      <c r="H88" s="13">
        <f t="shared" si="5"/>
        <v>266724.99000000005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4560.6099999999997</v>
      </c>
      <c r="D90" s="23" t="s">
        <v>288</v>
      </c>
      <c r="E90" s="23" t="s">
        <v>288</v>
      </c>
      <c r="F90" s="23" t="s">
        <v>288</v>
      </c>
      <c r="G90" s="23" t="s">
        <v>288</v>
      </c>
      <c r="H90" s="13">
        <f t="shared" si="5"/>
        <v>4560.6099999999997</v>
      </c>
    </row>
    <row r="91" spans="1:9" ht="12.75" thickTop="1" thickBot="1" x14ac:dyDescent="0.25">
      <c r="A91" s="32" t="s">
        <v>747</v>
      </c>
      <c r="C91" s="94">
        <f>SUM(C85:C90)</f>
        <v>4560.6099999999997</v>
      </c>
      <c r="D91" s="94">
        <f>SUM(D85:D90)</f>
        <v>26604.079999999998</v>
      </c>
      <c r="E91" s="94">
        <f>SUM(E85:E90)</f>
        <v>240120.91000000003</v>
      </c>
      <c r="F91" s="94">
        <f>SUM(F85:F90)</f>
        <v>0</v>
      </c>
      <c r="G91" s="23" t="s">
        <v>288</v>
      </c>
      <c r="H91" s="13">
        <f t="shared" si="5"/>
        <v>271285.60000000003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-4560.6099999999997</v>
      </c>
      <c r="D97" s="73">
        <f>SUM('DOE25'!G181:G182)</f>
        <v>0</v>
      </c>
      <c r="E97" s="73">
        <f>SUM('DOE25'!H181:H182)</f>
        <v>0</v>
      </c>
      <c r="F97" s="73">
        <f>SUM('DOE25'!I181:I182)</f>
        <v>0</v>
      </c>
      <c r="G97" s="73">
        <f>SUM('DOE25'!J181:J182)</f>
        <v>0</v>
      </c>
      <c r="H97" s="13">
        <f t="shared" si="5"/>
        <v>-4560.6099999999997</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-4560.6099999999997</v>
      </c>
      <c r="D103" s="68">
        <f>SUM(D93:D102)</f>
        <v>0</v>
      </c>
      <c r="E103" s="68">
        <f>SUM(E93:E102)</f>
        <v>0</v>
      </c>
      <c r="F103" s="68">
        <f>SUM(F93:F102)</f>
        <v>0</v>
      </c>
      <c r="G103" s="68">
        <f>SUM(G93:G102)</f>
        <v>0</v>
      </c>
      <c r="H103" s="68">
        <f t="shared" si="5"/>
        <v>-4560.6099999999997</v>
      </c>
    </row>
    <row r="104" spans="1:8" ht="12.75" thickTop="1" thickBot="1" x14ac:dyDescent="0.25">
      <c r="A104" s="32" t="s">
        <v>758</v>
      </c>
      <c r="C104" s="68">
        <f>C63+C81+C91+C103</f>
        <v>3486564.75</v>
      </c>
      <c r="D104" s="68">
        <f>D63+D81+D91+D103</f>
        <v>48038.549999999996</v>
      </c>
      <c r="E104" s="68">
        <f>E63+E81+E91+E103</f>
        <v>248129.81000000003</v>
      </c>
      <c r="F104" s="68">
        <f>F63+F81+F91+F103</f>
        <v>0</v>
      </c>
      <c r="G104" s="68">
        <f>G63+G81+G103</f>
        <v>32895.760000000002</v>
      </c>
      <c r="H104" s="68">
        <f t="shared" si="5"/>
        <v>3815628.8699999996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1328675.31</v>
      </c>
      <c r="D109" s="23" t="s">
        <v>288</v>
      </c>
      <c r="E109" s="73">
        <f>('DOE25'!L277)+('DOE25'!L296)+('DOE25'!L315)</f>
        <v>58026.359999999993</v>
      </c>
      <c r="F109" s="23" t="s">
        <v>288</v>
      </c>
      <c r="G109" s="23" t="s">
        <v>288</v>
      </c>
      <c r="H109" s="13">
        <f t="shared" ref="H109:H115" si="6">SUM(C109:G109)</f>
        <v>1386701.6700000002</v>
      </c>
    </row>
    <row r="110" spans="1:8" x14ac:dyDescent="0.2">
      <c r="A110" t="s">
        <v>198</v>
      </c>
      <c r="B110" s="31" t="s">
        <v>199</v>
      </c>
      <c r="C110" s="73">
        <f>('DOE25'!L199)+('DOE25'!L217)+('DOE25'!L235)</f>
        <v>234627.67</v>
      </c>
      <c r="D110" s="23" t="s">
        <v>288</v>
      </c>
      <c r="E110" s="73">
        <f>('DOE25'!L278)+('DOE25'!L297)+('DOE25'!L316)</f>
        <v>8891.2200000000012</v>
      </c>
      <c r="F110" s="23" t="s">
        <v>288</v>
      </c>
      <c r="G110" s="23" t="s">
        <v>288</v>
      </c>
      <c r="H110" s="13">
        <f t="shared" si="6"/>
        <v>243518.89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105052.88999999998</v>
      </c>
      <c r="D112" s="23" t="s">
        <v>288</v>
      </c>
      <c r="E112" s="73">
        <f>+('DOE25'!L280)+('DOE25'!L299)+('DOE25'!L318)</f>
        <v>9588.369999999999</v>
      </c>
      <c r="F112" s="23" t="s">
        <v>288</v>
      </c>
      <c r="G112" s="23" t="s">
        <v>288</v>
      </c>
      <c r="H112" s="13">
        <f t="shared" si="6"/>
        <v>114641.25999999998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1668355.8699999999</v>
      </c>
      <c r="D115" s="68">
        <f>SUM(D109:D114)</f>
        <v>0</v>
      </c>
      <c r="E115" s="68">
        <f>SUM(E109:E114)</f>
        <v>76505.949999999983</v>
      </c>
      <c r="F115" s="68">
        <f>SUM(F109:F114)</f>
        <v>0</v>
      </c>
      <c r="G115" s="68">
        <f>SUM(G109:G114)</f>
        <v>0</v>
      </c>
      <c r="H115" s="68">
        <f t="shared" si="6"/>
        <v>1744861.8199999998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285938.15999999997</v>
      </c>
      <c r="D118" s="23" t="s">
        <v>288</v>
      </c>
      <c r="E118" s="73">
        <f>+('DOE25'!L282)+('DOE25'!L301)+('DOE25'!L320)</f>
        <v>32214.550000000003</v>
      </c>
      <c r="F118" s="23" t="s">
        <v>288</v>
      </c>
      <c r="G118" s="23" t="s">
        <v>288</v>
      </c>
      <c r="H118" s="13">
        <f t="shared" ref="H118:H145" si="7">SUM(C118:G118)</f>
        <v>318152.70999999996</v>
      </c>
    </row>
    <row r="119" spans="1:8" x14ac:dyDescent="0.2">
      <c r="A119" t="s">
        <v>208</v>
      </c>
      <c r="B119" s="31" t="s">
        <v>209</v>
      </c>
      <c r="C119" s="73">
        <f>('DOE25'!L204)+('DOE25'!L222)+('DOE25'!L240)</f>
        <v>76182.639999999985</v>
      </c>
      <c r="D119" s="23" t="s">
        <v>288</v>
      </c>
      <c r="E119" s="73">
        <f>+('DOE25'!L283)+('DOE25'!L302)+('DOE25'!L321)</f>
        <v>46310.8</v>
      </c>
      <c r="F119" s="23" t="s">
        <v>288</v>
      </c>
      <c r="G119" s="23" t="s">
        <v>288</v>
      </c>
      <c r="H119" s="13">
        <f t="shared" si="7"/>
        <v>122493.43999999999</v>
      </c>
    </row>
    <row r="120" spans="1:8" x14ac:dyDescent="0.2">
      <c r="A120" t="s">
        <v>210</v>
      </c>
      <c r="B120" s="31" t="s">
        <v>211</v>
      </c>
      <c r="C120" s="73">
        <f>('DOE25'!L205)+('DOE25'!L223)+('DOE25'!L241)</f>
        <v>422241.69</v>
      </c>
      <c r="D120" s="23" t="s">
        <v>288</v>
      </c>
      <c r="E120" s="73">
        <f>+('DOE25'!L284)+('DOE25'!L303)+('DOE25'!L322)</f>
        <v>509.94</v>
      </c>
      <c r="F120" s="23" t="s">
        <v>288</v>
      </c>
      <c r="G120" s="23" t="s">
        <v>288</v>
      </c>
      <c r="H120" s="13">
        <f t="shared" si="7"/>
        <v>422751.63</v>
      </c>
    </row>
    <row r="121" spans="1:8" x14ac:dyDescent="0.2">
      <c r="A121" t="s">
        <v>212</v>
      </c>
      <c r="B121" s="31" t="s">
        <v>213</v>
      </c>
      <c r="C121" s="73">
        <f>('DOE25'!L206)+('DOE25'!L224)+('DOE25'!L242)</f>
        <v>246887.66</v>
      </c>
      <c r="D121" s="23" t="s">
        <v>288</v>
      </c>
      <c r="E121" s="73">
        <f>+('DOE25'!L285)+('DOE25'!L304)+('DOE25'!L323)</f>
        <v>0</v>
      </c>
      <c r="F121" s="23" t="s">
        <v>288</v>
      </c>
      <c r="G121" s="23" t="s">
        <v>288</v>
      </c>
      <c r="H121" s="13">
        <f t="shared" si="7"/>
        <v>246887.66</v>
      </c>
    </row>
    <row r="122" spans="1:8" x14ac:dyDescent="0.2">
      <c r="A122" t="s">
        <v>214</v>
      </c>
      <c r="B122" s="31" t="s">
        <v>215</v>
      </c>
      <c r="C122" s="73">
        <f>('DOE25'!L207)+('DOE25'!L225)+('DOE25'!L243)</f>
        <v>0</v>
      </c>
      <c r="D122" s="23" t="s">
        <v>288</v>
      </c>
      <c r="E122" s="73">
        <f>+('DOE25'!L286)+('DOE25'!L305)+('DOE25'!L324)</f>
        <v>909.64</v>
      </c>
      <c r="F122" s="23" t="s">
        <v>288</v>
      </c>
      <c r="G122" s="23" t="s">
        <v>288</v>
      </c>
      <c r="H122" s="13">
        <f t="shared" si="7"/>
        <v>909.64</v>
      </c>
    </row>
    <row r="123" spans="1:8" x14ac:dyDescent="0.2">
      <c r="A123" t="s">
        <v>216</v>
      </c>
      <c r="B123" s="31" t="s">
        <v>217</v>
      </c>
      <c r="C123" s="73">
        <f>('DOE25'!L208)+('DOE25'!L226)+('DOE25'!L244)</f>
        <v>459049.18000000005</v>
      </c>
      <c r="D123" s="23" t="s">
        <v>288</v>
      </c>
      <c r="E123" s="73">
        <f>+('DOE25'!L287)+('DOE25'!L306)+('DOE25'!L325)</f>
        <v>26081.93</v>
      </c>
      <c r="F123" s="23" t="s">
        <v>288</v>
      </c>
      <c r="G123" s="23" t="s">
        <v>288</v>
      </c>
      <c r="H123" s="13">
        <f t="shared" si="7"/>
        <v>485131.11000000004</v>
      </c>
    </row>
    <row r="124" spans="1:8" x14ac:dyDescent="0.2">
      <c r="A124" t="s">
        <v>218</v>
      </c>
      <c r="B124" s="31" t="s">
        <v>219</v>
      </c>
      <c r="C124" s="73">
        <f>('DOE25'!L209)+('DOE25'!L227)+('DOE25'!L245+'DOE25'!L255)</f>
        <v>103319.87000000001</v>
      </c>
      <c r="D124" s="23" t="s">
        <v>288</v>
      </c>
      <c r="E124" s="73">
        <f>+('DOE25'!L288)+('DOE25'!L307)+('DOE25'!L326)</f>
        <v>0</v>
      </c>
      <c r="F124" s="23" t="s">
        <v>288</v>
      </c>
      <c r="G124" s="23" t="s">
        <v>288</v>
      </c>
      <c r="H124" s="13">
        <f t="shared" si="7"/>
        <v>103319.87000000001</v>
      </c>
    </row>
    <row r="125" spans="1:8" x14ac:dyDescent="0.2">
      <c r="A125" t="s">
        <v>220</v>
      </c>
      <c r="B125" s="31" t="s">
        <v>221</v>
      </c>
      <c r="C125" s="73">
        <f>('DOE25'!L210)+('DOE25'!L228)+('DOE25'!L246)</f>
        <v>59250.62</v>
      </c>
      <c r="D125" s="23" t="s">
        <v>288</v>
      </c>
      <c r="E125" s="73">
        <f>+('DOE25'!L289)+('DOE25'!L308)+('DOE25'!L327)</f>
        <v>0</v>
      </c>
      <c r="F125" s="23" t="s">
        <v>288</v>
      </c>
      <c r="G125" s="23" t="s">
        <v>288</v>
      </c>
      <c r="H125" s="13">
        <f t="shared" si="7"/>
        <v>59250.62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78527.290000000008</v>
      </c>
      <c r="E127" s="23" t="s">
        <v>288</v>
      </c>
      <c r="F127" s="23" t="s">
        <v>288</v>
      </c>
      <c r="G127" s="23" t="s">
        <v>288</v>
      </c>
      <c r="H127" s="13">
        <f t="shared" si="7"/>
        <v>78527.290000000008</v>
      </c>
    </row>
    <row r="128" spans="1:8" ht="12.75" thickTop="1" thickBot="1" x14ac:dyDescent="0.25">
      <c r="A128" s="32" t="s">
        <v>226</v>
      </c>
      <c r="C128" s="68">
        <f>SUM(C118:C127)</f>
        <v>1652869.8200000003</v>
      </c>
      <c r="D128" s="68">
        <f>SUM(D118:D127)</f>
        <v>78527.290000000008</v>
      </c>
      <c r="E128" s="68">
        <f>SUM(E118:E127)</f>
        <v>106026.86000000002</v>
      </c>
      <c r="F128" s="68">
        <f>SUM(F118:F127)</f>
        <v>0</v>
      </c>
      <c r="G128" s="68">
        <f>SUM(G118:G127)</f>
        <v>0</v>
      </c>
      <c r="H128" s="68">
        <f t="shared" si="7"/>
        <v>1837423.9700000004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65597</v>
      </c>
      <c r="F130" s="92">
        <f>SUM('DOE25'!L375:'DOE25'!L381)</f>
        <v>0</v>
      </c>
      <c r="G130" s="23" t="s">
        <v>288</v>
      </c>
      <c r="H130" s="13">
        <f t="shared" si="7"/>
        <v>65597</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32895.760000000002</v>
      </c>
      <c r="D139" s="23" t="s">
        <v>288</v>
      </c>
      <c r="E139" s="23" t="s">
        <v>288</v>
      </c>
      <c r="F139" s="23" t="s">
        <v>288</v>
      </c>
      <c r="G139" s="23" t="s">
        <v>288</v>
      </c>
      <c r="H139" s="13">
        <f t="shared" si="7"/>
        <v>32895.760000000002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-32895.760000000002</v>
      </c>
      <c r="D141" s="23" t="s">
        <v>288</v>
      </c>
      <c r="E141" s="23" t="s">
        <v>288</v>
      </c>
      <c r="F141" s="23" t="s">
        <v>288</v>
      </c>
      <c r="G141" s="23" t="s">
        <v>288</v>
      </c>
      <c r="H141" s="13">
        <f t="shared" si="7"/>
        <v>-32895.760000000002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65597</v>
      </c>
      <c r="F144" s="98">
        <f>SUM(F130:F143)</f>
        <v>0</v>
      </c>
      <c r="G144" s="98">
        <f>SUM(G130:G143)</f>
        <v>0</v>
      </c>
      <c r="H144" s="98">
        <f t="shared" si="7"/>
        <v>65597</v>
      </c>
    </row>
    <row r="145" spans="1:9" ht="12.75" thickTop="1" thickBot="1" x14ac:dyDescent="0.25">
      <c r="A145" s="32" t="s">
        <v>244</v>
      </c>
      <c r="C145" s="68">
        <f>(C115+C128+C144)</f>
        <v>3321225.6900000004</v>
      </c>
      <c r="D145" s="68">
        <f>(D115+D128+D144)</f>
        <v>78527.290000000008</v>
      </c>
      <c r="E145" s="68">
        <f>(E115+E128+E144)</f>
        <v>248129.81</v>
      </c>
      <c r="F145" s="68">
        <f>(F115+F128+F144)</f>
        <v>0</v>
      </c>
      <c r="G145" s="68">
        <f>(G115+G128+G144)</f>
        <v>0</v>
      </c>
      <c r="H145" s="68">
        <f t="shared" si="7"/>
        <v>3647882.7900000005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Pittsburg</v>
      </c>
    </row>
    <row r="3" spans="1:4" x14ac:dyDescent="0.2">
      <c r="B3" s="136" t="s">
        <v>1792</v>
      </c>
    </row>
    <row r="4" spans="1:4" x14ac:dyDescent="0.2">
      <c r="B4" t="s">
        <v>61</v>
      </c>
      <c r="C4" s="128">
        <f>IF('DOE25'!F666+'DOE25'!F671=0,0,ROUND('DOE25'!F673,0))</f>
        <v>42451</v>
      </c>
    </row>
    <row r="5" spans="1:4" x14ac:dyDescent="0.2">
      <c r="B5" t="s">
        <v>700</v>
      </c>
      <c r="C5" s="128">
        <f>IF('DOE25'!G666+'DOE25'!G671=0,0,ROUND('DOE25'!G673,0))</f>
        <v>0</v>
      </c>
    </row>
    <row r="6" spans="1:4" x14ac:dyDescent="0.2">
      <c r="B6" t="s">
        <v>62</v>
      </c>
      <c r="C6" s="128">
        <f>IF('DOE25'!H666+'DOE25'!H671=0,0,ROUND('DOE25'!H673,0))</f>
        <v>47883</v>
      </c>
    </row>
    <row r="7" spans="1:4" x14ac:dyDescent="0.2">
      <c r="B7" t="s">
        <v>701</v>
      </c>
      <c r="C7" s="128">
        <f>IF('DOE25'!I666+'DOE25'!I671=0,0,ROUND('DOE25'!I673,0))</f>
        <v>44484</v>
      </c>
    </row>
    <row r="9" spans="1:4" x14ac:dyDescent="0.2">
      <c r="A9" s="135" t="s">
        <v>94</v>
      </c>
      <c r="B9" s="136" t="s">
        <v>1793</v>
      </c>
      <c r="C9" s="130" t="s">
        <v>720</v>
      </c>
      <c r="D9" s="130" t="s">
        <v>721</v>
      </c>
    </row>
    <row r="10" spans="1:4" x14ac:dyDescent="0.2">
      <c r="A10">
        <v>1100</v>
      </c>
      <c r="B10" t="s">
        <v>702</v>
      </c>
      <c r="C10" s="128">
        <f>ROUND('DOE25'!L198+'DOE25'!L216+'DOE25'!L234+'DOE25'!L277+'DOE25'!L296+'DOE25'!L315,0)</f>
        <v>1386702</v>
      </c>
      <c r="D10" s="131">
        <f>ROUND((C10/$C$28)*100,1)</f>
        <v>38.9</v>
      </c>
    </row>
    <row r="11" spans="1:4" x14ac:dyDescent="0.2">
      <c r="A11">
        <v>1200</v>
      </c>
      <c r="B11" t="s">
        <v>703</v>
      </c>
      <c r="C11" s="128">
        <f>ROUND('DOE25'!L199+'DOE25'!L217+'DOE25'!L235+'DOE25'!L278+'DOE25'!L297+'DOE25'!L316,0)</f>
        <v>243519</v>
      </c>
      <c r="D11" s="131">
        <f>ROUND((C11/$C$28)*100,1)</f>
        <v>6.8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114641</v>
      </c>
      <c r="D13" s="131">
        <f>ROUND((C13/$C$28)*100,1)</f>
        <v>3.2</v>
      </c>
    </row>
    <row r="14" spans="1:4" x14ac:dyDescent="0.2">
      <c r="D14" s="131"/>
    </row>
    <row r="15" spans="1:4" x14ac:dyDescent="0.2">
      <c r="A15">
        <v>2100</v>
      </c>
      <c r="B15" t="s">
        <v>706</v>
      </c>
      <c r="C15" s="128">
        <f>ROUND('DOE25'!L203+'DOE25'!L221+'DOE25'!L239+'DOE25'!L282+'DOE25'!L301+'DOE25'!L320,0)</f>
        <v>318153</v>
      </c>
      <c r="D15" s="131">
        <f t="shared" ref="D15:D27" si="0">ROUND((C15/$C$28)*100,1)</f>
        <v>8.9</v>
      </c>
    </row>
    <row r="16" spans="1:4" x14ac:dyDescent="0.2">
      <c r="A16">
        <v>2200</v>
      </c>
      <c r="B16" t="s">
        <v>707</v>
      </c>
      <c r="C16" s="128">
        <f>ROUND('DOE25'!L204+'DOE25'!L222+'DOE25'!L240+'DOE25'!L283+'DOE25'!L302+'DOE25'!L321,0)</f>
        <v>122493</v>
      </c>
      <c r="D16" s="131">
        <f t="shared" si="0"/>
        <v>3.4</v>
      </c>
    </row>
    <row r="17" spans="1:4" x14ac:dyDescent="0.2">
      <c r="A17" s="132" t="s">
        <v>723</v>
      </c>
      <c r="B17" t="s">
        <v>738</v>
      </c>
      <c r="C17" s="128">
        <f>ROUND('DOE25'!L205+'DOE25'!L210+'DOE25'!L223+'DOE25'!L228+'DOE25'!L241+'DOE25'!L246+'DOE25'!L284+'DOE25'!L289+'DOE25'!L303+'DOE25'!L308+'DOE25'!L322+'DOE25'!L327,0)</f>
        <v>482002</v>
      </c>
      <c r="D17" s="131">
        <f t="shared" si="0"/>
        <v>13.5</v>
      </c>
    </row>
    <row r="18" spans="1:4" x14ac:dyDescent="0.2">
      <c r="A18">
        <v>2400</v>
      </c>
      <c r="B18" t="s">
        <v>711</v>
      </c>
      <c r="C18" s="128">
        <f>ROUND('DOE25'!L206+'DOE25'!L224+'DOE25'!L242+'DOE25'!L285+'DOE25'!L304+'DOE25'!L323,0)</f>
        <v>246888</v>
      </c>
      <c r="D18" s="131">
        <f t="shared" si="0"/>
        <v>6.9</v>
      </c>
    </row>
    <row r="19" spans="1:4" x14ac:dyDescent="0.2">
      <c r="A19">
        <v>2500</v>
      </c>
      <c r="B19" t="s">
        <v>708</v>
      </c>
      <c r="C19" s="128">
        <f>ROUND('DOE25'!L207+'DOE25'!L225+'DOE25'!L243+'DOE25'!L286+'DOE25'!L305+'DOE25'!L324,0)</f>
        <v>910</v>
      </c>
      <c r="D19" s="131">
        <f t="shared" si="0"/>
        <v>0</v>
      </c>
    </row>
    <row r="20" spans="1:4" x14ac:dyDescent="0.2">
      <c r="A20">
        <v>2600</v>
      </c>
      <c r="B20" t="s">
        <v>709</v>
      </c>
      <c r="C20" s="128">
        <f>ROUND('DOE25'!L208+'DOE25'!L226+'DOE25'!L244+'DOE25'!L287+'DOE25'!L306+'DOE25'!L325,0)</f>
        <v>485131</v>
      </c>
      <c r="D20" s="131">
        <f t="shared" si="0"/>
        <v>13.6</v>
      </c>
    </row>
    <row r="21" spans="1:4" x14ac:dyDescent="0.2">
      <c r="A21">
        <v>2700</v>
      </c>
      <c r="B21" t="s">
        <v>710</v>
      </c>
      <c r="C21" s="128">
        <f>ROUND('DOE25'!L209+'DOE25'!L227+'DOE25'!L245+'DOE25'!L288+'DOE25'!L307+'DOE25'!L326,0)</f>
        <v>103320</v>
      </c>
      <c r="D21" s="131">
        <f t="shared" si="0"/>
        <v>2.9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57279.880000000005</v>
      </c>
      <c r="D27" s="131">
        <f t="shared" si="0"/>
        <v>1.6</v>
      </c>
    </row>
    <row r="28" spans="1:4" x14ac:dyDescent="0.2">
      <c r="B28" s="135" t="s">
        <v>719</v>
      </c>
      <c r="C28" s="129">
        <f>SUM(C10:C27)</f>
        <v>3561038.88</v>
      </c>
      <c r="D28" s="133">
        <f>ROUND(SUM(D10:D27),0)</f>
        <v>100</v>
      </c>
    </row>
    <row r="29" spans="1:4" x14ac:dyDescent="0.2">
      <c r="A29">
        <v>4000</v>
      </c>
      <c r="B29" t="s">
        <v>724</v>
      </c>
      <c r="C29" s="128">
        <f>ROUND('DOE25'!L256+'DOE25'!L337+'DOE25'!L375+'DOE25'!L376+'DOE25'!L377+'DOE25'!L378+'DOE25'!L379+'DOE25'!L380+'DOE25'!L381,0)</f>
        <v>65597</v>
      </c>
    </row>
    <row r="30" spans="1:4" x14ac:dyDescent="0.2">
      <c r="B30" s="135" t="s">
        <v>725</v>
      </c>
      <c r="C30" s="129">
        <f>SUM(C28:C29)</f>
        <v>3626635.88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2252708</v>
      </c>
      <c r="D35" s="131">
        <f t="shared" ref="D35:D40" si="1">ROUND((C35/$C$41)*100,1)</f>
        <v>59.3</v>
      </c>
    </row>
    <row r="36" spans="1:4" x14ac:dyDescent="0.2">
      <c r="B36" s="71" t="s">
        <v>739</v>
      </c>
      <c r="C36" s="128">
        <f>SUM('DOE25'!F112:J112)-SUM('DOE25'!G97:G110)+('DOE25'!F175+'DOE25'!F176+'DOE25'!I175+'DOE25'!I176)-C35</f>
        <v>630320.99999999953</v>
      </c>
      <c r="D36" s="131">
        <f t="shared" si="1"/>
        <v>16.600000000000001</v>
      </c>
    </row>
    <row r="37" spans="1:4" x14ac:dyDescent="0.2">
      <c r="A37" s="132" t="s">
        <v>831</v>
      </c>
      <c r="B37" s="71" t="s">
        <v>728</v>
      </c>
      <c r="C37" s="128">
        <f>ROUND('DOE25'!F117+'DOE25'!F118,0)</f>
        <v>634370</v>
      </c>
      <c r="D37" s="131">
        <f t="shared" si="1"/>
        <v>16.7</v>
      </c>
    </row>
    <row r="38" spans="1:4" x14ac:dyDescent="0.2">
      <c r="A38" s="132" t="s">
        <v>734</v>
      </c>
      <c r="B38" s="71" t="s">
        <v>729</v>
      </c>
      <c r="C38" s="128">
        <f>ROUND(SUM('DOE25'!F140:J140)-SUM('DOE25'!F117:F119),0)</f>
        <v>10258</v>
      </c>
      <c r="D38" s="131">
        <f t="shared" si="1"/>
        <v>0.3</v>
      </c>
    </row>
    <row r="39" spans="1:4" x14ac:dyDescent="0.2">
      <c r="A39">
        <v>4000</v>
      </c>
      <c r="B39" s="71" t="s">
        <v>730</v>
      </c>
      <c r="C39" s="128">
        <f>ROUND('DOE25'!F170+'DOE25'!G170+'DOE25'!H170+'DOE25'!I170,0)</f>
        <v>271286</v>
      </c>
      <c r="D39" s="131">
        <f t="shared" si="1"/>
        <v>7.1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3798942.9999999995</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Pittsburg</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248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75</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f>IF('School Level Expenditures'!$B$2='School Tables'!W78,'School Tables'!AD78,"")</f>
        <v>75</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f>IF('School Level Expenditures'!$B$2=A251,'School Tables'!H251,"")</f>
        <v>248</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2024-09-27T20:40:04Z</cp:lastPrinted>
  <dcterms:created xsi:type="dcterms:W3CDTF">1997-12-04T19:04:30Z</dcterms:created>
  <dcterms:modified xsi:type="dcterms:W3CDTF">2024-09-30T12:10:43Z</dcterms:modified>
</cp:coreProperties>
</file>