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3A07E71B-6722-4A89-9618-D54195CC5A96}"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F50" i="1"/>
  <c r="H155" i="1"/>
  <c r="E9" i="17"/>
  <c r="D5" i="14" l="1"/>
  <c r="Q6" i="14" l="1"/>
  <c r="B11" i="12"/>
  <c r="P6" i="14" s="1"/>
  <c r="K522" i="1" l="1"/>
  <c r="J522" i="1"/>
  <c r="I522" i="1"/>
  <c r="F522" i="1"/>
  <c r="I198" i="1"/>
  <c r="F198" i="1"/>
  <c r="H204" i="1"/>
  <c r="H203" i="1"/>
  <c r="H199" i="1"/>
  <c r="H522" i="1" s="1"/>
  <c r="G198" i="1"/>
  <c r="F22" i="1"/>
  <c r="B21" i="12" l="1"/>
  <c r="B12" i="12"/>
  <c r="B10" i="12"/>
  <c r="H277" i="1"/>
  <c r="H282" i="1" l="1"/>
  <c r="H527" i="1" s="1"/>
  <c r="H283" i="1"/>
  <c r="F277" i="1"/>
  <c r="H161" i="1"/>
  <c r="H162" i="1"/>
  <c r="H12" i="1"/>
  <c r="H13" i="1"/>
  <c r="H542" i="1"/>
  <c r="H359" i="1" l="1"/>
  <c r="G208" i="1"/>
  <c r="G206" i="1"/>
  <c r="G205" i="1"/>
  <c r="G204" i="1"/>
  <c r="G203" i="1"/>
  <c r="G527" i="1" s="1"/>
  <c r="G201" i="1"/>
  <c r="G199" i="1"/>
  <c r="G522" i="1" s="1"/>
  <c r="H593" i="1"/>
  <c r="H24" i="1"/>
  <c r="H30" i="1"/>
  <c r="H29" i="1"/>
  <c r="H159" i="1"/>
  <c r="J282" i="1"/>
  <c r="F283" i="1"/>
  <c r="I283" i="1"/>
  <c r="J96" i="1"/>
  <c r="J466" i="1"/>
  <c r="H398" i="1"/>
  <c r="H397" i="1"/>
  <c r="H396" i="1"/>
  <c r="G440" i="1"/>
  <c r="F440" i="1"/>
  <c r="G97" i="1" l="1"/>
  <c r="G12" i="1"/>
  <c r="G13" i="1"/>
  <c r="F29" i="1" l="1"/>
  <c r="F24" i="1"/>
  <c r="F14" i="1"/>
  <c r="F9" i="1"/>
  <c r="H209" i="1"/>
  <c r="F96" i="1"/>
  <c r="K267" i="1" l="1"/>
  <c r="I208" i="1"/>
  <c r="H208" i="1"/>
  <c r="F208" i="1"/>
  <c r="H206" i="1"/>
  <c r="K205" i="1"/>
  <c r="J205" i="1"/>
  <c r="I205" i="1"/>
  <c r="H205" i="1"/>
  <c r="F205" i="1"/>
  <c r="I204" i="1"/>
  <c r="F204" i="1"/>
  <c r="K203" i="1"/>
  <c r="K527" i="1" s="1"/>
  <c r="J203" i="1"/>
  <c r="J527" i="1" s="1"/>
  <c r="I203" i="1"/>
  <c r="I527" i="1" s="1"/>
  <c r="F203" i="1"/>
  <c r="F527" i="1" s="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 i="14"/>
  <c r="G589" i="1"/>
  <c r="H589" i="1"/>
  <c r="F589" i="1"/>
  <c r="P2" i="14" l="1"/>
  <c r="Q45" i="14"/>
  <c r="P45" i="14"/>
  <c r="O45" i="14"/>
  <c r="N45" i="14"/>
  <c r="M45" i="14"/>
  <c r="L45" i="14"/>
  <c r="Q34" i="14"/>
  <c r="P34" i="14"/>
  <c r="O34" i="14"/>
  <c r="N34" i="14"/>
  <c r="M34" i="14"/>
  <c r="L34" i="14"/>
  <c r="K34" i="14"/>
  <c r="Q21" i="14"/>
  <c r="P21" i="14"/>
  <c r="C2" i="1"/>
  <c r="B2" i="1"/>
  <c r="P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E34" i="14"/>
  <c r="D34" i="14"/>
  <c r="E21" i="14"/>
  <c r="G36" i="13" l="1"/>
  <c r="G29" i="13"/>
  <c r="B22" i="12" l="1"/>
  <c r="F88" i="2" l="1"/>
  <c r="E88" i="2"/>
  <c r="D88" i="2"/>
  <c r="C88" i="2"/>
  <c r="I163" i="1"/>
  <c r="H163" i="1"/>
  <c r="G163" i="1"/>
  <c r="F163" i="1"/>
  <c r="H88" i="2" l="1"/>
  <c r="B31" i="16"/>
  <c r="B27" i="16"/>
  <c r="B9" i="16"/>
  <c r="B5" i="16"/>
  <c r="F44" i="14" l="1"/>
  <c r="F40" i="14" l="1"/>
  <c r="F41" i="14"/>
  <c r="F42" i="14"/>
  <c r="F43" i="14"/>
  <c r="F27" i="14"/>
  <c r="F28" i="14"/>
  <c r="F29" i="14"/>
  <c r="F30" i="14"/>
  <c r="F31" i="14"/>
  <c r="F32" i="14"/>
  <c r="F33" i="14"/>
  <c r="F7" i="14"/>
  <c r="F8" i="14"/>
  <c r="F9" i="14"/>
  <c r="F10" i="14"/>
  <c r="F11" i="14"/>
  <c r="F12" i="14"/>
  <c r="F13" i="14"/>
  <c r="F14" i="14"/>
  <c r="F15" i="14"/>
  <c r="F16" i="14"/>
  <c r="F17" i="14"/>
  <c r="F18" i="14"/>
  <c r="F19" i="14"/>
  <c r="F20" i="14"/>
  <c r="F26" i="14"/>
  <c r="F5" i="14"/>
  <c r="F25" i="14" l="1"/>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99" i="15"/>
  <c r="AF61" i="15"/>
  <c r="AF77"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M6" i="14" s="1"/>
  <c r="M21" i="14" s="1"/>
  <c r="L222" i="1"/>
  <c r="L240" i="1"/>
  <c r="G12" i="13"/>
  <c r="H12" i="13"/>
  <c r="L206" i="1"/>
  <c r="N6" i="14" s="1"/>
  <c r="N21" i="14" s="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H605" i="1" s="1"/>
  <c r="H606" i="1" s="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B37" i="12" s="1"/>
  <c r="C36" i="12"/>
  <c r="C37" i="12" s="1"/>
  <c r="C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447" i="1"/>
  <c r="H447" i="1"/>
  <c r="G642" i="1" s="1"/>
  <c r="F453" i="1"/>
  <c r="G453" i="1"/>
  <c r="H453"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H631" i="1"/>
  <c r="H637" i="1"/>
  <c r="H639" i="1"/>
  <c r="G644" i="1"/>
  <c r="G645" i="1"/>
  <c r="G646" i="1"/>
  <c r="G652" i="1"/>
  <c r="H653" i="1"/>
  <c r="G654" i="1"/>
  <c r="H654" i="1"/>
  <c r="H655" i="1"/>
  <c r="H656" i="1"/>
  <c r="H137" i="2" l="1"/>
  <c r="O2" i="14"/>
  <c r="O6" i="14"/>
  <c r="O21" i="14" s="1"/>
  <c r="E120" i="2"/>
  <c r="F664" i="1"/>
  <c r="I664" i="1" s="1"/>
  <c r="K605" i="1"/>
  <c r="H73" i="2"/>
  <c r="G618" i="1"/>
  <c r="C85" i="2"/>
  <c r="J112" i="1"/>
  <c r="E125" i="2"/>
  <c r="H125" i="2" s="1"/>
  <c r="K6" i="14"/>
  <c r="K21" i="14" s="1"/>
  <c r="E124" i="2"/>
  <c r="E111" i="2"/>
  <c r="G641" i="1"/>
  <c r="G460" i="1"/>
  <c r="G461" i="1" s="1"/>
  <c r="L6" i="14"/>
  <c r="L21" i="14" s="1"/>
  <c r="G640" i="1"/>
  <c r="F460" i="1"/>
  <c r="B40" i="12"/>
  <c r="A40" i="12" s="1"/>
  <c r="C125" i="2"/>
  <c r="H38" i="2"/>
  <c r="H43" i="2"/>
  <c r="I409" i="1"/>
  <c r="G620" i="1"/>
  <c r="H48" i="1"/>
  <c r="H101" i="2"/>
  <c r="H99" i="2"/>
  <c r="H79" i="2"/>
  <c r="H76" i="2"/>
  <c r="H35" i="2"/>
  <c r="H13" i="2"/>
  <c r="H9" i="2"/>
  <c r="H113" i="2"/>
  <c r="G409" i="1"/>
  <c r="H646" i="1" s="1"/>
  <c r="G40" i="1"/>
  <c r="C13" i="10"/>
  <c r="J652" i="1"/>
  <c r="D144" i="2"/>
  <c r="H69" i="2"/>
  <c r="H30" i="2"/>
  <c r="H28" i="2"/>
  <c r="H25" i="2"/>
  <c r="H17" i="2"/>
  <c r="H140" i="1"/>
  <c r="G62" i="2"/>
  <c r="G63" i="2" s="1"/>
  <c r="D29" i="13"/>
  <c r="C29" i="13" s="1"/>
  <c r="E13" i="13"/>
  <c r="C13" i="13" s="1"/>
  <c r="H102" i="2"/>
  <c r="H143" i="2"/>
  <c r="H96" i="2"/>
  <c r="H80" i="2"/>
  <c r="H77" i="2"/>
  <c r="C119" i="2"/>
  <c r="H23" i="2"/>
  <c r="H15" i="2"/>
  <c r="H11" i="2"/>
  <c r="H135" i="2"/>
  <c r="H89" i="2"/>
  <c r="H72" i="2"/>
  <c r="H59" i="2"/>
  <c r="H34" i="2"/>
  <c r="C112" i="2"/>
  <c r="H112" i="2" s="1"/>
  <c r="H94" i="2"/>
  <c r="H29" i="2"/>
  <c r="H27" i="2"/>
  <c r="H24" i="2"/>
  <c r="H12" i="2"/>
  <c r="H8" i="2"/>
  <c r="G663" i="1"/>
  <c r="J140" i="1"/>
  <c r="J194" i="1" s="1"/>
  <c r="G647" i="1" s="1"/>
  <c r="C32" i="10"/>
  <c r="K36" i="14"/>
  <c r="K2" i="14"/>
  <c r="D18" i="13"/>
  <c r="C18" i="13" s="1"/>
  <c r="D15" i="13"/>
  <c r="C15" i="13" s="1"/>
  <c r="C12" i="10"/>
  <c r="C120" i="2"/>
  <c r="H120" i="2" s="1"/>
  <c r="H98" i="2"/>
  <c r="H58" i="2"/>
  <c r="H132" i="2"/>
  <c r="G662" i="1"/>
  <c r="H36" i="2"/>
  <c r="H44" i="2"/>
  <c r="H48" i="2"/>
  <c r="H100" i="2"/>
  <c r="H97" i="2"/>
  <c r="H93" i="2"/>
  <c r="H87" i="2"/>
  <c r="H61" i="2"/>
  <c r="H26" i="2"/>
  <c r="H22" i="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L572" i="1" s="1"/>
  <c r="I572" i="1"/>
  <c r="K546" i="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K552" i="1"/>
  <c r="I25" i="13"/>
  <c r="K551" i="1"/>
  <c r="L535" i="1"/>
  <c r="K50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42" i="2"/>
  <c r="G16" i="2"/>
  <c r="G18" i="2" s="1"/>
  <c r="J19" i="1"/>
  <c r="G622" i="1" s="1"/>
  <c r="F546" i="1"/>
  <c r="H435" i="1"/>
  <c r="D103" i="2"/>
  <c r="I140" i="1"/>
  <c r="A22" i="12"/>
  <c r="J653" i="1"/>
  <c r="G572" i="1"/>
  <c r="I435" i="1"/>
  <c r="G435" i="1"/>
  <c r="H111" i="2" l="1"/>
  <c r="J641" i="1"/>
  <c r="O3" i="14"/>
  <c r="I663" i="1"/>
  <c r="K3" i="14"/>
  <c r="F51" i="1"/>
  <c r="C49" i="2"/>
  <c r="K39" i="14"/>
  <c r="K45" i="14" s="1"/>
  <c r="K37" i="14" s="1"/>
  <c r="D39" i="14"/>
  <c r="H473" i="1"/>
  <c r="H634" i="1" s="1"/>
  <c r="E144" i="2"/>
  <c r="I460" i="1"/>
  <c r="F461" i="1"/>
  <c r="F462" i="1" s="1"/>
  <c r="H640" i="1" s="1"/>
  <c r="J640" i="1" s="1"/>
  <c r="H475" i="1"/>
  <c r="H51" i="1"/>
  <c r="E47" i="2"/>
  <c r="B17" i="16"/>
  <c r="B19" i="16" s="1"/>
  <c r="G473" i="1"/>
  <c r="H57" i="2"/>
  <c r="H62" i="2"/>
  <c r="I662" i="1"/>
  <c r="G51" i="1"/>
  <c r="D39" i="2"/>
  <c r="H31" i="2"/>
  <c r="F194" i="1"/>
  <c r="H119" i="2"/>
  <c r="H42" i="2"/>
  <c r="H21" i="2"/>
  <c r="H85" i="2"/>
  <c r="H122" i="2"/>
  <c r="H123" i="2"/>
  <c r="H18" i="2"/>
  <c r="H134" i="2"/>
  <c r="H91" i="2"/>
  <c r="D128" i="2"/>
  <c r="D145" i="2" s="1"/>
  <c r="H127" i="2"/>
  <c r="H114" i="2"/>
  <c r="C81" i="2"/>
  <c r="H81" i="2" s="1"/>
  <c r="H78" i="2"/>
  <c r="H16" i="2"/>
  <c r="H103" i="2"/>
  <c r="G25" i="14"/>
  <c r="H25" i="14" s="1"/>
  <c r="I25" i="14" s="1"/>
  <c r="H110" i="2"/>
  <c r="H121" i="2"/>
  <c r="E128" i="2"/>
  <c r="H118" i="2"/>
  <c r="F661" i="1"/>
  <c r="F665" i="1" s="1"/>
  <c r="F670" i="1" s="1"/>
  <c r="E115" i="2"/>
  <c r="H109" i="2"/>
  <c r="F144" i="2"/>
  <c r="H130" i="2"/>
  <c r="H661" i="1"/>
  <c r="H665" i="1" s="1"/>
  <c r="H194" i="1"/>
  <c r="H649" i="1"/>
  <c r="J649" i="1" s="1"/>
  <c r="C141" i="2"/>
  <c r="F51" i="2"/>
  <c r="G38" i="14"/>
  <c r="E104" i="2"/>
  <c r="C36" i="10"/>
  <c r="L435" i="1"/>
  <c r="G639" i="1" s="1"/>
  <c r="J639" i="1" s="1"/>
  <c r="G104" i="2"/>
  <c r="L339" i="1"/>
  <c r="L353" i="1" s="1"/>
  <c r="G634" i="1" s="1"/>
  <c r="I194" i="1"/>
  <c r="G631" i="1" s="1"/>
  <c r="J631" i="1" s="1"/>
  <c r="G636" i="1"/>
  <c r="D104" i="2"/>
  <c r="L409" i="1"/>
  <c r="J469" i="1" s="1"/>
  <c r="C27" i="10"/>
  <c r="C28" i="10" s="1"/>
  <c r="D23" i="10" s="1"/>
  <c r="G4" i="14"/>
  <c r="L546" i="1"/>
  <c r="J626" i="1"/>
  <c r="F104" i="2"/>
  <c r="B14" i="16"/>
  <c r="E33" i="13"/>
  <c r="D35" i="13" s="1"/>
  <c r="J648" i="1"/>
  <c r="L258" i="1"/>
  <c r="L272" i="1" s="1"/>
  <c r="C115" i="2"/>
  <c r="C63" i="2"/>
  <c r="C39" i="10"/>
  <c r="G33" i="13"/>
  <c r="C128" i="2"/>
  <c r="D31" i="13"/>
  <c r="C31" i="13" s="1"/>
  <c r="G661" i="1"/>
  <c r="G665" i="1" s="1"/>
  <c r="C25" i="13"/>
  <c r="I33" i="13"/>
  <c r="K553" i="1"/>
  <c r="G632" i="1"/>
  <c r="G194" i="1"/>
  <c r="C38" i="10"/>
  <c r="I37" i="14" l="1"/>
  <c r="D45" i="14"/>
  <c r="F39" i="14"/>
  <c r="F38" i="14" s="1"/>
  <c r="D21" i="14"/>
  <c r="F6" i="14"/>
  <c r="F4" i="14" s="1"/>
  <c r="H4" i="14" s="1"/>
  <c r="I4" i="14" s="1"/>
  <c r="H49" i="2"/>
  <c r="C50" i="2"/>
  <c r="C51" i="2" s="1"/>
  <c r="G628" i="1"/>
  <c r="F469" i="1"/>
  <c r="H632" i="1"/>
  <c r="J632" i="1" s="1"/>
  <c r="J471" i="1"/>
  <c r="J477" i="1" s="1"/>
  <c r="H627" i="1" s="1"/>
  <c r="H638" i="1"/>
  <c r="J48" i="1"/>
  <c r="I461" i="1"/>
  <c r="I462" i="1" s="1"/>
  <c r="H643" i="1" s="1"/>
  <c r="J643" i="1" s="1"/>
  <c r="G623" i="1"/>
  <c r="F52" i="1"/>
  <c r="H618" i="1" s="1"/>
  <c r="J618" i="1" s="1"/>
  <c r="H38" i="14"/>
  <c r="I38" i="14" s="1"/>
  <c r="G629" i="1"/>
  <c r="G469" i="1"/>
  <c r="J634" i="1"/>
  <c r="G630" i="1"/>
  <c r="H469" i="1"/>
  <c r="E50" i="2"/>
  <c r="E51" i="2" s="1"/>
  <c r="G625" i="1"/>
  <c r="H52" i="1"/>
  <c r="H620" i="1" s="1"/>
  <c r="J620" i="1" s="1"/>
  <c r="B22" i="16"/>
  <c r="G475" i="1"/>
  <c r="H636" i="1"/>
  <c r="J636" i="1" s="1"/>
  <c r="G633" i="1"/>
  <c r="F473" i="1"/>
  <c r="G624" i="1"/>
  <c r="G52" i="1"/>
  <c r="H619" i="1" s="1"/>
  <c r="J619" i="1" s="1"/>
  <c r="H39" i="2"/>
  <c r="D50" i="2"/>
  <c r="C104" i="2"/>
  <c r="H104" i="2" s="1"/>
  <c r="H63"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47" i="2" l="1"/>
  <c r="J51" i="1"/>
  <c r="H629" i="1"/>
  <c r="G471" i="1"/>
  <c r="G477" i="1" s="1"/>
  <c r="J629" i="1"/>
  <c r="H628" i="1"/>
  <c r="J628" i="1" s="1"/>
  <c r="F471" i="1"/>
  <c r="H630" i="1"/>
  <c r="J630" i="1" s="1"/>
  <c r="H471" i="1"/>
  <c r="H477" i="1" s="1"/>
  <c r="H625" i="1" s="1"/>
  <c r="J625" i="1" s="1"/>
  <c r="F475" i="1"/>
  <c r="H633" i="1"/>
  <c r="J633" i="1" s="1"/>
  <c r="D51" i="2"/>
  <c r="H144" i="2"/>
  <c r="H145" i="2"/>
  <c r="I670" i="1"/>
  <c r="I673" i="1" s="1"/>
  <c r="C7" i="10" s="1"/>
  <c r="F673" i="1"/>
  <c r="C4" i="10" s="1"/>
  <c r="I668" i="1"/>
  <c r="D28" i="10"/>
  <c r="D37" i="10"/>
  <c r="D36" i="10"/>
  <c r="D35" i="10"/>
  <c r="D40" i="10"/>
  <c r="D39" i="10"/>
  <c r="B33" i="16" l="1"/>
  <c r="H624" i="1"/>
  <c r="J624" i="1" s="1"/>
  <c r="F477" i="1"/>
  <c r="H623" i="1" s="1"/>
  <c r="J623" i="1" s="1"/>
  <c r="G627" i="1"/>
  <c r="J627" i="1" s="1"/>
  <c r="J52" i="1"/>
  <c r="H622" i="1" s="1"/>
  <c r="J622" i="1" s="1"/>
  <c r="G50" i="2"/>
  <c r="H47" i="2"/>
  <c r="D41" i="10"/>
  <c r="G51" i="2" l="1"/>
  <c r="H51" i="2" s="1"/>
  <c r="H50" i="2"/>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<sst xmlns="http://schemas.openxmlformats.org/spreadsheetml/2006/main" count="6645" uniqueCount="1842">
  <si>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</si>
  <si>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</si>
  <si>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</si>
  <si>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</si>
  <si>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</si>
  <si>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</si>
  <si>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</si>
  <si>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</si>
  <si>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</si>
  <si>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</si>
  <si>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</si>
  <si>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</si>
  <si>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</si>
  <si>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</si>
  <si>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</si>
  <si>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</si>
  <si>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</si>
  <si>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</si>
  <si>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</si>
  <si>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</si>
  <si>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</si>
  <si>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</si>
  <si>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</si>
  <si>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</si>
  <si>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</si>
  <si>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</si>
  <si>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</si>
  <si>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</si>
  <si>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</si>
  <si>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</si>
  <si>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</si>
  <si>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</si>
  <si>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</si>
  <si>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</si>
  <si>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</si>
  <si>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</si>
  <si>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</si>
  <si>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</si>
  <si>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</si>
  <si>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</si>
  <si>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</si>
  <si>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</si>
  <si>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</si>
  <si>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</si>
  <si>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</si>
  <si>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</si>
  <si>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</si>
  <si>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</si>
  <si>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</si>
  <si>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</si>
  <si>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</si>
  <si>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</si>
  <si>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</si>
  <si>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</si>
  <si>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</si>
  <si>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</si>
  <si>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</si>
  <si>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</si>
  <si>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</si>
  <si>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</si>
  <si>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</si>
  <si>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</si>
  <si>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</si>
  <si>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</si>
  <si>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</si>
  <si>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</si>
  <si>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</si>
  <si>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</si>
  <si>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</si>
  <si>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</si>
  <si>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</si>
  <si>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</si>
  <si>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</si>
  <si>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</si>
  <si>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</si>
  <si>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</si>
  <si>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</si>
  <si>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</si>
  <si>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</si>
  <si>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</si>
  <si>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</si>
  <si>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</si>
  <si>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</si>
  <si>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</si>
  <si>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</si>
  <si>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</si>
  <si>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</si>
  <si>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</si>
  <si>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</si>
  <si>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</si>
  <si>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</si>
  <si>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</si>
  <si>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</si>
  <si>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</si>
  <si>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</si>
  <si>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</si>
  <si>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</si>
  <si>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</si>
  <si>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</si>
  <si>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</si>
  <si>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</si>
  <si>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</si>
  <si>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</si>
  <si>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</si>
  <si>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</si>
  <si>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</si>
  <si>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</si>
  <si>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</si>
  <si>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</si>
  <si>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</si>
  <si>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</si>
  <si>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</si>
  <si>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</si>
  <si>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</si>
  <si>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</si>
  <si>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</si>
  <si>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</si>
  <si>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</si>
  <si>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</si>
  <si>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</si>
  <si>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</si>
  <si>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</si>
  <si>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</si>
  <si>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</si>
  <si>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</si>
  <si>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</si>
  <si>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</si>
  <si>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</si>
  <si>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</si>
  <si>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</si>
  <si>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</si>
  <si>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</si>
  <si>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</si>
  <si>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</si>
  <si>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</si>
  <si>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</si>
  <si>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</si>
  <si>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</si>
  <si>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</si>
  <si>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</si>
  <si>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</si>
  <si>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</si>
  <si>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</si>
  <si>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</si>
  <si>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</si>
  <si>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</si>
  <si>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</si>
  <si>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</si>
  <si>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</si>
  <si>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</si>
  <si>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</si>
  <si>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</si>
  <si>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</si>
  <si>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</si>
  <si>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</si>
  <si>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</si>
  <si>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</si>
  <si>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</si>
  <si>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</si>
  <si>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</si>
  <si>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</si>
  <si>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</si>
  <si>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</si>
  <si>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</si>
  <si>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</si>
  <si>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</si>
  <si>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</si>
  <si>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</si>
  <si>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</si>
  <si>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</si>
  <si>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</si>
  <si>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</si>
  <si>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</si>
  <si>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</si>
  <si>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</si>
  <si>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</si>
  <si>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</si>
  <si>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</si>
  <si>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</si>
  <si>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</si>
  <si>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</si>
  <si>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</si>
  <si>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</si>
  <si>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</si>
  <si>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</si>
  <si>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</si>
  <si>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</si>
  <si>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</si>
  <si>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</si>
  <si>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</si>
  <si>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</si>
  <si>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</si>
  <si>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</si>
  <si>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</si>
  <si>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</si>
  <si>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</si>
  <si>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</si>
  <si>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</si>
  <si>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</si>
  <si>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</si>
  <si>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</si>
  <si>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</si>
  <si>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</si>
  <si>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</si>
  <si>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</si>
  <si>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</si>
  <si>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</si>
  <si>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</si>
  <si>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</si>
  <si>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</si>
  <si>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</si>
  <si>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</si>
  <si>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</si>
  <si>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</si>
  <si>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</si>
  <si>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</si>
  <si>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</si>
  <si>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</si>
  <si>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</si>
  <si>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</si>
  <si>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</si>
  <si>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</si>
  <si>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</si>
  <si>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</si>
  <si>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</si>
  <si>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</si>
  <si>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</si>
  <si>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</si>
  <si>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</si>
  <si>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</si>
  <si>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</si>
  <si>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</si>
  <si>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</si>
  <si>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</si>
  <si>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</si>
  <si>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</si>
  <si>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</si>
  <si>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</si>
  <si>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</si>
  <si>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</si>
  <si>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</si>
  <si>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</si>
  <si>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</si>
  <si>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</si>
  <si>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</si>
  <si>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</si>
  <si>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</si>
  <si>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</si>
  <si>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</si>
  <si>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</si>
  <si>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</si>
  <si>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</si>
  <si>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</si>
  <si>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</si>
  <si>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</si>
  <si>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</si>
  <si>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</si>
  <si>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</si>
  <si>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</si>
  <si>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</si>
  <si>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</si>
  <si>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</si>
  <si>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</si>
  <si>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</si>
  <si>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</si>
  <si>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</si>
  <si>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</si>
  <si>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</si>
  <si>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</si>
  <si>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</si>
  <si>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</si>
  <si>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</si>
  <si>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</si>
  <si>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</si>
  <si>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</si>
  <si>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</si>
  <si>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</si>
  <si>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</si>
  <si>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</si>
  <si>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</si>
  <si>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</si>
  <si>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</si>
  <si>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</si>
  <si>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</si>
  <si>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</si>
  <si>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</si>
  <si>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</si>
  <si>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</si>
  <si>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</si>
  <si>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</si>
  <si>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</si>
  <si>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</si>
  <si>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</si>
  <si>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</si>
  <si>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</si>
  <si>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</si>
  <si>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</si>
  <si>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</si>
  <si>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</si>
  <si>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</si>
  <si>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</si>
  <si>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</si>
  <si>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</si>
  <si>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</si>
  <si>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</si>
  <si>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</si>
  <si>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</si>
  <si>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</si>
  <si>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</si>
  <si>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</si>
  <si>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</si>
  <si>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</si>
  <si>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</si>
  <si>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</si>
  <si>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</si>
  <si>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</si>
  <si>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</si>
  <si>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</si>
  <si>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</si>
  <si>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</si>
  <si>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</si>
  <si>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</si>
  <si>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</si>
  <si>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</si>
  <si>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</si>
  <si>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</si>
  <si>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</si>
  <si>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</si>
  <si>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</si>
  <si>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</si>
  <si>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</si>
  <si>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</si>
  <si>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</si>
  <si>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</si>
  <si>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</si>
  <si>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</si>
  <si>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</si>
  <si>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</si>
  <si>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</si>
  <si>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</si>
  <si>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</si>
  <si>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</si>
  <si>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</si>
  <si>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</si>
  <si>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</si>
  <si>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</si>
  <si>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</si>
  <si>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</si>
  <si>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</si>
  <si>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</si>
  <si>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</si>
  <si>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</si>
  <si>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</si>
  <si>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</si>
  <si>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</si>
  <si>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</si>
  <si>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</si>
  <si>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</si>
  <si>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</si>
  <si>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</si>
  <si>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</si>
  <si>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</si>
  <si>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</si>
  <si>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</si>
  <si>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</si>
  <si>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</si>
  <si>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</si>
  <si>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</si>
  <si>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</si>
  <si>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</si>
  <si>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</si>
  <si>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</si>
  <si>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</si>
  <si>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</si>
  <si>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</si>
  <si>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</si>
  <si>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</si>
  <si>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</si>
  <si>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</si>
  <si>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</si>
  <si>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</si>
  <si>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</si>
  <si>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</si>
  <si>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</si>
  <si>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</si>
  <si>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</si>
  <si>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</si>
  <si>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</si>
  <si>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</si>
  <si>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</si>
  <si>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</si>
  <si>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</si>
  <si>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</si>
  <si>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</si>
  <si>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</si>
  <si>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</si>
  <si>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</si>
  <si>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</si>
  <si>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</si>
  <si>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</si>
  <si>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</si>
  <si>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</si>
  <si>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</si>
  <si>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</si>
  <si>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</si>
  <si>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</si>
  <si>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</si>
  <si>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</si>
  <si>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</si>
  <si>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</si>
  <si>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</si>
  <si>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</si>
  <si>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</si>
  <si>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</si>
  <si>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</si>
  <si>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</si>
  <si>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</si>
  <si>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</si>
  <si>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</si>
  <si>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</si>
  <si>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</si>
  <si>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</si>
  <si>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</si>
  <si>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</si>
  <si>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</si>
  <si>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</si>
  <si>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</si>
  <si>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</si>
  <si>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</si>
  <si>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</si>
  <si>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</si>
  <si>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</si>
  <si>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</si>
  <si>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</si>
  <si>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</si>
  <si>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</si>
  <si>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</si>
  <si>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</si>
  <si>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</si>
  <si>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</si>
  <si>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</si>
  <si>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</si>
  <si>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</si>
  <si>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</si>
  <si>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</si>
  <si>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</si>
  <si>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</si>
  <si>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</si>
  <si>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</si>
  <si>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</si>
  <si>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</si>
  <si>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</si>
  <si>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</si>
  <si>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</si>
  <si>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</si>
  <si>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</si>
  <si>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</si>
  <si>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</si>
  <si>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</si>
  <si>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</si>
  <si>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</si>
  <si>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</si>
  <si>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</si>
  <si>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</si>
  <si>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</si>
  <si>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</si>
  <si>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</si>
  <si>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</si>
  <si>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</si>
  <si>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</si>
  <si>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</si>
  <si>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</si>
  <si>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</si>
  <si>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</si>
  <si>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</si>
  <si>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</si>
  <si>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</si>
  <si>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</si>
  <si>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</si>
  <si>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</si>
  <si>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</si>
  <si>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</si>
  <si>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</si>
  <si>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</si>
  <si>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</si>
  <si>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</si>
  <si>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</si>
  <si>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</si>
  <si>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</si>
  <si>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</si>
  <si>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</si>
  <si>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</si>
  <si>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</si>
  <si>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</si>
  <si>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</si>
  <si>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</si>
  <si>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</si>
  <si>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</si>
  <si>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</si>
  <si>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</si>
  <si>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</si>
  <si>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</si>
  <si>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</si>
  <si>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</si>
  <si>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</si>
  <si>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</si>
  <si>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</si>
  <si>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</si>
  <si>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</si>
  <si>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</si>
  <si>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</si>
  <si>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</si>
  <si>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</si>
  <si>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</si>
  <si>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</si>
  <si>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</si>
  <si>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</si>
  <si>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</si>
  <si>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</si>
  <si>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</si>
  <si>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</si>
  <si>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</si>
  <si>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</si>
  <si>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</si>
  <si>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</si>
  <si>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</si>
  <si>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</si>
  <si>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</si>
  <si>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</si>
  <si>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</si>
  <si>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</si>
  <si>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</si>
  <si>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</si>
  <si>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</si>
  <si>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</si>
  <si>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</si>
  <si>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</si>
  <si>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</si>
  <si>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</si>
  <si>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</si>
  <si>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</si>
  <si>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</si>
  <si>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</si>
  <si>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</si>
  <si>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</si>
  <si>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</si>
  <si>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</si>
  <si>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</si>
  <si>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</si>
  <si>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</si>
  <si>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</si>
  <si>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</si>
  <si>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</si>
  <si>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</si>
  <si>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</si>
  <si>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</si>
  <si>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</si>
  <si>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</si>
  <si>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</si>
  <si>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</si>
  <si>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</si>
  <si>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</si>
  <si>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</si>
  <si>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</si>
  <si>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</si>
  <si>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</si>
  <si>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</si>
  <si>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</si>
  <si>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</si>
  <si>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</si>
  <si>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</si>
  <si>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</si>
  <si>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</si>
  <si>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</si>
  <si>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</si>
  <si>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</si>
  <si>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</si>
  <si>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</si>
  <si>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</si>
  <si>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</si>
  <si>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</si>
  <si>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</si>
  <si>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</si>
  <si>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</si>
  <si>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</si>
  <si>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</si>
  <si>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</si>
  <si>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</si>
  <si>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</si>
  <si>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</si>
  <si>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</si>
  <si>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</si>
  <si>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</si>
  <si>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</si>
  <si>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</si>
  <si>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</si>
  <si>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</si>
  <si>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</si>
  <si>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</si>
  <si>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</si>
  <si>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</si>
  <si>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</si>
  <si>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</si>
  <si>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</si>
  <si>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</si>
  <si>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</si>
  <si>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</si>
  <si>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</si>
  <si>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</si>
  <si>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</si>
  <si>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</si>
  <si>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</si>
  <si>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</si>
  <si>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</si>
  <si>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</si>
  <si>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</si>
  <si>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</si>
  <si>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</si>
  <si>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</si>
  <si>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</si>
  <si>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</si>
  <si>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</si>
  <si>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</si>
  <si>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</si>
  <si>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</si>
  <si>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</si>
  <si>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</si>
  <si>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</si>
  <si>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</si>
  <si>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</si>
  <si>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</si>
  <si>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</si>
  <si>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</si>
  <si>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</si>
  <si>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</si>
  <si>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</si>
  <si>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</si>
  <si>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</si>
  <si>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</si>
  <si>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</si>
  <si>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</si>
  <si>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</si>
  <si>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</si>
  <si>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</si>
  <si>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</si>
  <si>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</si>
  <si>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</si>
  <si>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</si>
  <si>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</si>
  <si>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</si>
  <si>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</si>
  <si>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</si>
  <si>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</si>
  <si>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</si>
  <si>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</si>
  <si>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</si>
  <si>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</si>
  <si>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</si>
  <si>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</si>
  <si>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</si>
  <si>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</si>
  <si>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</si>
  <si>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</si>
  <si>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</si>
  <si>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</si>
  <si>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</si>
  <si>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</si>
  <si>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</si>
  <si>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</si>
  <si>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</si>
  <si>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</si>
  <si>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</si>
  <si>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</si>
  <si>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</si>
  <si>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</si>
  <si>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</si>
  <si>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</si>
  <si>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</si>
  <si>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</si>
  <si>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</si>
  <si>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</si>
  <si>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</si>
  <si>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</si>
  <si>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</si>
  <si>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</si>
  <si>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</si>
  <si>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</si>
  <si>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</si>
  <si>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</si>
  <si>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</si>
  <si>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</si>
  <si>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</si>
  <si>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</si>
  <si>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</si>
  <si>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</si>
  <si>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</si>
  <si>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</si>
  <si>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</si>
  <si>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</si>
  <si>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</si>
  <si>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</si>
  <si>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</si>
  <si>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</si>
  <si>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</si>
  <si>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</si>
  <si>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</si>
  <si>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</si>
  <si>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</si>
  <si>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</si>
  <si>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</si>
  <si>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</si>
  <si>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</si>
  <si>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</si>
  <si>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</si>
  <si>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</si>
  <si>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</si>
  <si>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</si>
  <si>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</si>
  <si>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</si>
  <si>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</si>
  <si>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</si>
  <si>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</si>
  <si>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</si>
  <si>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</si>
  <si>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</si>
  <si>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</si>
  <si>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</si>
  <si>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</si>
  <si>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</si>
  <si>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</si>
  <si>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</si>
  <si>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</si>
  <si>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</si>
  <si>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</si>
  <si>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</si>
  <si>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</si>
  <si>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</si>
  <si>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</si>
  <si>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</si>
  <si>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</si>
  <si>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</si>
  <si>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</si>
  <si>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</si>
  <si>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</si>
  <si>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</si>
  <si>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</si>
  <si>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</si>
  <si>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</si>
  <si>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</si>
  <si>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</si>
  <si>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</si>
  <si>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</si>
  <si>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</si>
  <si>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</si>
  <si>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</si>
  <si>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</si>
  <si>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</si>
  <si>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</si>
  <si>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</si>
  <si>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</si>
  <si>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</si>
  <si>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</si>
  <si>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</si>
  <si>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</si>
  <si>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</si>
  <si>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</si>
  <si>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</si>
  <si>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</si>
  <si>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</si>
  <si>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</si>
  <si>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</si>
  <si>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</si>
  <si>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</si>
  <si>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</si>
  <si>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</si>
  <si>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</si>
  <si>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</si>
  <si>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</si>
  <si>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</si>
  <si>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</si>
  <si>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</si>
  <si>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</si>
  <si>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</si>
  <si>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</si>
  <si>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</si>
  <si>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</si>
  <si>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</si>
  <si>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</si>
  <si>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</si>
  <si>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</si>
  <si>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</si>
  <si>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</si>
  <si>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</si>
  <si>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</si>
  <si>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</si>
  <si>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</si>
  <si>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</si>
  <si>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</si>
  <si>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</si>
  <si>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</si>
  <si>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</si>
  <si>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</si>
  <si>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</si>
  <si>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</si>
  <si>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</si>
  <si>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</si>
  <si>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</si>
  <si>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</si>
  <si>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</si>
  <si>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</si>
  <si>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</si>
  <si>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</si>
  <si>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</si>
  <si>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</si>
  <si>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</si>
  <si>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</si>
  <si>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</si>
  <si>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</si>
  <si>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</si>
  <si>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</si>
  <si>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</si>
  <si>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</si>
  <si>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</si>
  <si>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</si>
  <si>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</si>
  <si>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</si>
  <si>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</si>
  <si>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</si>
  <si>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</si>
  <si>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</si>
  <si>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</si>
  <si>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</si>
  <si>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</si>
  <si>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</si>
  <si>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</si>
  <si>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</si>
  <si>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</si>
  <si>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</si>
  <si>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</si>
  <si>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</si>
  <si>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</si>
  <si>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</si>
  <si>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</si>
  <si>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</si>
  <si>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</si>
  <si>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</si>
  <si>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</si>
  <si>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</si>
  <si>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</si>
  <si>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</si>
  <si>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</si>
  <si>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</si>
  <si>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</si>
  <si>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</si>
  <si>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</si>
  <si>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</si>
  <si>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</si>
  <si>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</si>
  <si>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</si>
  <si>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</si>
  <si>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</si>
  <si>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</si>
  <si>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</si>
  <si>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</si>
  <si>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</si>
  <si>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</si>
  <si>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</si>
  <si>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</si>
  <si>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</si>
  <si>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</si>
  <si>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</si>
  <si>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</si>
  <si>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</si>
  <si>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</si>
  <si>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</si>
  <si>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</si>
  <si>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</si>
  <si>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</si>
  <si>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</si>
  <si>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</si>
  <si>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</si>
  <si>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</si>
  <si>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</si>
  <si>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</si>
  <si>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</si>
  <si>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</si>
  <si>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</si>
  <si>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</si>
  <si>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</si>
  <si>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</si>
  <si>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</si>
  <si>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</si>
  <si>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</si>
  <si>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</si>
  <si>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</si>
  <si>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</si>
  <si>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</si>
  <si>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</si>
  <si>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</si>
  <si>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</si>
  <si>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</si>
  <si>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</si>
  <si>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</si>
  <si>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</si>
  <si>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</si>
  <si>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</si>
  <si>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</si>
  <si>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</si>
  <si>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</si>
  <si>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</si>
  <si>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</si>
  <si>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</si>
  <si>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</si>
  <si>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</si>
  <si>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</si>
  <si>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</si>
  <si>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</si>
  <si>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</si>
  <si>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</si>
  <si>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</si>
  <si>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</si>
  <si>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</si>
  <si>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</si>
  <si>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</si>
  <si>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</si>
  <si>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</si>
  <si>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</si>
  <si>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</si>
  <si>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</si>
  <si>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</si>
  <si>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</si>
  <si>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</si>
  <si>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</si>
  <si>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</si>
  <si>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</si>
  <si>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</si>
  <si>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</si>
  <si>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</si>
  <si>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</si>
  <si>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</si>
  <si>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</si>
  <si>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</si>
  <si>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</si>
  <si>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</si>
  <si>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</si>
  <si>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</si>
  <si>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</si>
  <si>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</si>
  <si>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</si>
  <si>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</si>
  <si>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</si>
  <si>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</si>
  <si>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</si>
  <si>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</si>
  <si>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</si>
  <si>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</si>
  <si>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</si>
  <si>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</si>
  <si>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</si>
  <si>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</si>
  <si>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</si>
  <si>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</si>
  <si>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</si>
  <si>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</si>
  <si>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</si>
  <si>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</si>
  <si>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</si>
  <si>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</si>
  <si>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</si>
  <si>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</si>
  <si>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</si>
  <si>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</si>
  <si>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</si>
  <si>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</si>
  <si>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</si>
  <si>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</si>
  <si>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</si>
  <si>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</si>
  <si>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</si>
  <si>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</si>
  <si>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</si>
  <si>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</si>
  <si>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</si>
  <si>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</si>
  <si>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</si>
  <si>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</si>
  <si>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</si>
  <si>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</si>
  <si>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</si>
  <si>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</si>
  <si>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</si>
  <si>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</si>
  <si>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</si>
  <si>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</si>
  <si>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</si>
  <si>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</si>
  <si>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</si>
  <si>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</si>
  <si>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</si>
  <si>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</si>
  <si>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</si>
  <si>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</si>
  <si>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</si>
  <si>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</si>
  <si>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</si>
  <si>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</si>
  <si>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</si>
  <si>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</si>
  <si>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</si>
  <si>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</si>
  <si>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</si>
  <si>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</si>
  <si>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</si>
  <si>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</si>
  <si>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</si>
  <si>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</si>
  <si>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</si>
  <si>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</si>
  <si>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</si>
  <si>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</si>
  <si>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</si>
  <si>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</si>
  <si>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</si>
  <si>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</si>
  <si>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</si>
  <si>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</si>
  <si>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</si>
  <si>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</si>
  <si>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</si>
  <si>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</si>
  <si>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</si>
  <si>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</si>
  <si>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</si>
  <si>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</si>
  <si>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</si>
  <si>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</si>
  <si>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</si>
  <si>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</si>
  <si>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</si>
  <si>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</si>
  <si>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</si>
  <si>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</si>
  <si>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</si>
  <si>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</si>
  <si>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</si>
  <si>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</si>
  <si>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</si>
  <si>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</si>
  <si>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</si>
  <si>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</si>
  <si>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</si>
  <si>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</si>
  <si>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</si>
  <si>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</si>
  <si>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</si>
  <si>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</si>
  <si>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</si>
  <si>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</si>
  <si>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</si>
  <si>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</si>
  <si>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</si>
  <si>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</si>
  <si>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</si>
  <si>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</si>
  <si>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</si>
  <si>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</si>
  <si>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</si>
  <si>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</si>
  <si>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</si>
  <si>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</si>
  <si>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</si>
  <si>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</si>
  <si>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</si>
  <si>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</si>
  <si>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</si>
  <si>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</si>
  <si>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</si>
  <si>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</si>
  <si>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</si>
  <si>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</si>
  <si>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</si>
  <si>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</si>
  <si>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</si>
  <si>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</si>
  <si>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</si>
  <si>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</si>
  <si>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</si>
  <si>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</si>
  <si>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</si>
  <si>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</si>
  <si>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</si>
  <si>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</si>
  <si>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</si>
  <si>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</si>
  <si>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</si>
  <si>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</si>
  <si>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</si>
  <si>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</si>
  <si>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</si>
  <si>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</si>
  <si>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</si>
  <si>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</si>
  <si>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</si>
  <si>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</si>
  <si>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</si>
  <si>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</si>
  <si>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</si>
  <si>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</si>
  <si>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</si>
  <si>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</si>
  <si>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</si>
  <si>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</si>
  <si>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</si>
  <si>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</si>
  <si>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</si>
  <si>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</si>
  <si>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</si>
  <si>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</si>
  <si>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</si>
  <si>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</si>
  <si>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</si>
  <si>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</si>
  <si>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</si>
  <si>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</si>
  <si>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</si>
  <si>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</si>
  <si>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</si>
  <si>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</si>
  <si>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</si>
  <si>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</si>
  <si>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</si>
  <si>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</si>
  <si>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</si>
  <si>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</si>
  <si>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</si>
  <si>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</si>
  <si>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</si>
  <si>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</si>
  <si>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</si>
  <si>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</si>
  <si>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</si>
  <si>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</si>
  <si>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</si>
  <si>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</si>
  <si>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</si>
  <si>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</si>
  <si>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</si>
  <si>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</si>
  <si>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</si>
  <si>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</si>
  <si>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</si>
  <si>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</si>
  <si>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</si>
  <si>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</si>
  <si>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</si>
  <si>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</si>
  <si>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</si>
  <si>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</si>
  <si>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</si>
  <si>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</si>
  <si>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</si>
  <si>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</si>
  <si>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</si>
  <si>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</si>
  <si>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</si>
  <si>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</si>
  <si>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</si>
  <si>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</si>
  <si>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</si>
  <si>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</si>
  <si>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</si>
  <si>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</si>
  <si>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</si>
  <si>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</si>
  <si>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</si>
  <si>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</si>
  <si>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</si>
  <si>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</si>
  <si>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</si>
  <si>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</si>
  <si>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</si>
  <si>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</si>
  <si>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</si>
  <si>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</si>
  <si>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</si>
  <si>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</si>
  <si>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</si>
  <si>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</si>
  <si>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</si>
  <si>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</si>
  <si>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</si>
  <si>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</si>
  <si>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</si>
  <si>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</si>
  <si>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</si>
  <si>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</si>
  <si>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</si>
  <si>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</si>
  <si>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</si>
  <si>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</si>
  <si>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</si>
  <si>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</si>
  <si>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</si>
  <si>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</si>
  <si>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</si>
  <si>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</si>
  <si>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</si>
  <si>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</si>
  <si>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</si>
  <si>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</si>
  <si>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</si>
  <si>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</si>
  <si>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</si>
  <si>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</si>
  <si>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</si>
  <si>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</si>
  <si>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</si>
  <si>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</si>
  <si>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</si>
  <si>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</si>
  <si>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</si>
  <si>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</si>
  <si>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</si>
  <si>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</si>
  <si>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</si>
  <si>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</si>
  <si>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</si>
  <si>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</si>
  <si>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</si>
  <si>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</si>
  <si>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</si>
  <si>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</si>
  <si>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</si>
  <si>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</si>
  <si>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</si>
  <si>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</si>
  <si>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</si>
  <si>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</si>
  <si>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</si>
  <si>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</si>
  <si>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</si>
  <si>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</si>
  <si>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</si>
  <si>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</si>
  <si>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</si>
  <si>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</si>
  <si>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</si>
  <si>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</si>
  <si>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</si>
  <si>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</si>
  <si>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</si>
  <si>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</si>
  <si>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</si>
  <si>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</si>
  <si>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</si>
  <si>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</si>
  <si>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</si>
  <si>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</si>
  <si>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</si>
  <si>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</si>
  <si>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</si>
  <si>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</si>
  <si>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</si>
  <si>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</si>
  <si>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</si>
  <si>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</si>
  <si>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</si>
  <si>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</si>
  <si>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</si>
  <si>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</si>
  <si>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</si>
  <si>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</si>
  <si>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</si>
  <si>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</si>
  <si>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</si>
  <si>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</si>
  <si>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</si>
  <si>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</si>
  <si>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</si>
  <si>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</si>
  <si>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</si>
  <si>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</si>
  <si>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</si>
  <si>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</si>
  <si>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</si>
  <si>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</si>
  <si>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</si>
  <si>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</si>
  <si>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</si>
  <si>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</si>
  <si>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</si>
  <si>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</si>
  <si>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</si>
  <si>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</si>
  <si>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</si>
  <si>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</si>
  <si>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</si>
  <si>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</si>
  <si>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</si>
  <si>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</si>
  <si>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</si>
  <si>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</si>
  <si>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</si>
  <si>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</si>
  <si>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</si>
  <si>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</si>
  <si>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</si>
  <si>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</si>
  <si>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</si>
  <si>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</si>
  <si>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</si>
  <si>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</si>
  <si>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</si>
  <si>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</si>
  <si>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</si>
  <si>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</si>
  <si>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</si>
  <si>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</si>
  <si>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</si>
  <si>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</si>
  <si>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</si>
  <si>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</si>
  <si>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</si>
  <si>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</si>
  <si>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</si>
  <si>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</si>
  <si>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</si>
  <si>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</si>
  <si>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</si>
  <si>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</si>
  <si>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</si>
  <si>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</si>
  <si>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</si>
  <si>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</si>
  <si>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</si>
  <si>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</si>
  <si>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</si>
  <si>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</si>
  <si>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</si>
  <si>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</si>
  <si>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</si>
  <si>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</si>
  <si>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</si>
  <si>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</si>
  <si>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</si>
  <si>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</si>
  <si>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</si>
  <si>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</si>
  <si>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</si>
  <si>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</si>
  <si>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</si>
  <si>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</si>
  <si>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</si>
  <si>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</si>
  <si>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</si>
  <si>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</si>
  <si>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</si>
  <si>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</si>
  <si>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</si>
  <si>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</si>
  <si>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</si>
  <si>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</si>
  <si>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</si>
  <si>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</si>
  <si>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</si>
  <si>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</si>
  <si>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</si>
  <si>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</si>
  <si>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</si>
  <si>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</si>
  <si>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</si>
  <si>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</si>
  <si>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</si>
  <si>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</si>
  <si>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</si>
  <si>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</si>
  <si>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</si>
  <si>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</si>
  <si>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</si>
  <si>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</si>
  <si>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</si>
  <si>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</si>
  <si>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</si>
  <si>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</si>
  <si>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</si>
  <si>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</si>
  <si>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</si>
  <si>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</si>
  <si>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</si>
  <si>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</si>
  <si>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</si>
  <si>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</si>
  <si>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</si>
  <si>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</si>
  <si>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</si>
  <si>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</si>
  <si>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</si>
  <si>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</si>
  <si>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</si>
  <si>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</si>
  <si>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</si>
  <si>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</si>
  <si>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</si>
  <si>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</si>
  <si>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</si>
  <si>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</si>
  <si>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</si>
  <si>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</si>
  <si>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</si>
  <si>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</si>
  <si>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</si>
  <si>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</si>
  <si>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</si>
  <si>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</si>
  <si>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</si>
  <si>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</si>
  <si>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</si>
  <si>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</si>
  <si>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</si>
  <si>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</si>
  <si>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</si>
  <si>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</si>
  <si>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</si>
  <si>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</si>
  <si>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</si>
  <si>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</si>
  <si>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</si>
  <si>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</si>
  <si>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</si>
  <si>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</si>
  <si>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</si>
  <si>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</si>
  <si>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</si>
  <si>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</si>
  <si>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</si>
  <si>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</si>
  <si>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</si>
  <si>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</si>
  <si>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</si>
  <si>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</si>
  <si>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</si>
  <si>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</si>
  <si>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</si>
  <si>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</si>
  <si>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</si>
  <si>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</si>
  <si>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</si>
  <si>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</si>
  <si>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</si>
  <si>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</si>
  <si>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</si>
  <si>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</si>
  <si>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</si>
  <si>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</si>
  <si>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</si>
  <si>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</si>
  <si>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</si>
  <si>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</si>
  <si>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</si>
  <si>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</si>
  <si>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</si>
  <si>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</si>
  <si>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</si>
  <si>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</si>
  <si>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</si>
  <si>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</si>
  <si>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</si>
  <si>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</si>
  <si>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</si>
  <si>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</si>
  <si>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</si>
  <si>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</si>
  <si>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</si>
  <si>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</si>
  <si>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</si>
  <si>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</si>
  <si>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</si>
  <si>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</si>
  <si>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</si>
  <si>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</si>
  <si>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</si>
  <si>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</si>
  <si>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</si>
  <si>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</si>
  <si>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</si>
  <si>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</si>
  <si>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</si>
  <si>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</si>
  <si>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</si>
  <si>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</si>
  <si>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</si>
  <si>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</si>
  <si>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</si>
  <si>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</si>
  <si>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</si>
  <si>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</si>
  <si>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</si>
  <si>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</si>
  <si>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</si>
  <si>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</si>
  <si>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</si>
  <si>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</si>
  <si>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</si>
  <si>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</si>
  <si>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</si>
  <si>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</si>
  <si>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</si>
  <si>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</si>
  <si>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</si>
  <si>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</si>
  <si>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</si>
  <si>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</si>
  <si>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</si>
  <si>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</si>
  <si>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</si>
  <si>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</si>
  <si>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</si>
  <si>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</si>
  <si>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</si>
  <si>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</si>
  <si>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</si>
  <si>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</si>
  <si>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</si>
  <si>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</si>
  <si>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</si>
  <si>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</si>
  <si>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</si>
  <si>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</si>
  <si>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</si>
  <si>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</si>
  <si>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</si>
  <si>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</si>
  <si>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</si>
  <si>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</si>
  <si>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</si>
  <si>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</si>
  <si>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</si>
  <si>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</si>
  <si>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</si>
  <si>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</si>
  <si>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</si>
  <si>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</si>
  <si>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</si>
  <si>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</si>
  <si>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</si>
  <si>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</si>
  <si>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</si>
  <si>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</si>
  <si>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</si>
  <si>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</si>
  <si>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</si>
  <si>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</si>
  <si>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</si>
  <si>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</si>
  <si>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</si>
  <si>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</si>
  <si>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</si>
  <si>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</si>
  <si>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</si>
  <si>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</si>
  <si>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</si>
  <si>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</si>
  <si>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</si>
  <si>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</si>
  <si>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</si>
  <si>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</si>
  <si>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</si>
  <si>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</si>
  <si>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</si>
  <si>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</si>
  <si>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</si>
  <si>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</si>
  <si>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</si>
  <si>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</si>
  <si>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</si>
  <si>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</si>
  <si>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</si>
  <si>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</si>
  <si>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</si>
  <si>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</si>
  <si>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</si>
  <si>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</si>
  <si>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</si>
  <si>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</si>
  <si>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</si>
  <si>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</si>
  <si>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</si>
  <si>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</si>
  <si>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</si>
  <si>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</si>
  <si>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</si>
  <si>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</si>
  <si>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</si>
  <si>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</si>
  <si>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</si>
  <si>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</si>
  <si>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</si>
  <si>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</si>
  <si>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</si>
  <si>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</si>
  <si>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</si>
  <si>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</si>
  <si>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</si>
  <si>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</si>
  <si>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</si>
  <si>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</si>
  <si>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</si>
  <si>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</si>
  <si>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</si>
  <si>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</si>
  <si>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</si>
  <si>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</si>
  <si>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</si>
  <si>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</si>
  <si>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</si>
  <si>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</si>
  <si>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</si>
  <si>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</si>
  <si>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</si>
  <si>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</si>
  <si>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</si>
  <si>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</si>
  <si>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</si>
  <si>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</si>
  <si>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</si>
  <si>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</si>
  <si>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</si>
  <si>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</si>
  <si>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</si>
  <si>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</si>
  <si>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</si>
  <si>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</si>
  <si>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</si>
  <si>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</si>
  <si>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</si>
  <si>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</si>
  <si>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</si>
  <si>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</si>
  <si>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</si>
  <si>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</si>
  <si>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</si>
  <si>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</si>
  <si>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</si>
  <si>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</si>
  <si>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</si>
  <si>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</si>
  <si>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</si>
  <si>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</si>
  <si>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</si>
  <si>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</si>
  <si>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</si>
  <si>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</si>
  <si>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</si>
  <si>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</si>
  <si>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</si>
  <si>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</si>
  <si>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</si>
  <si>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</si>
  <si>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</si>
  <si>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</si>
  <si>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</si>
  <si>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</si>
  <si>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</si>
  <si>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</si>
  <si>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</si>
  <si>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</si>
  <si>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</si>
  <si>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</si>
  <si>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</si>
  <si>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</si>
  <si>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</si>
  <si>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</si>
  <si>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</si>
  <si>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</si>
  <si>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</si>
  <si>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</si>
  <si>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</si>
  <si>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</si>
  <si>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</si>
  <si>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</si>
  <si>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</si>
  <si>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</si>
  <si>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</si>
  <si>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</si>
  <si>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</si>
  <si>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</si>
  <si>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</si>
  <si>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</si>
  <si>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</si>
  <si>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</si>
  <si>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</si>
  <si>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</si>
  <si>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</si>
  <si>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</si>
  <si>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</si>
  <si>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</si>
  <si>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</si>
  <si>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</si>
  <si>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</si>
  <si>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</si>
  <si>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</si>
  <si>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</si>
  <si>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</si>
  <si>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</si>
  <si>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</si>
  <si>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</si>
  <si>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</si>
  <si>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</si>
  <si>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</si>
  <si>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</si>
  <si>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</si>
  <si>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</si>
  <si>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</si>
  <si>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</si>
  <si>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</si>
  <si>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</si>
  <si>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</si>
  <si>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</si>
  <si>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</si>
  <si>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</si>
  <si>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</si>
  <si>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</si>
  <si>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</si>
  <si>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</si>
  <si>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</si>
  <si>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</si>
  <si>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</si>
  <si>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</si>
  <si>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</si>
  <si>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</si>
  <si>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</si>
  <si>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</si>
  <si>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</si>
  <si>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</si>
  <si>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</si>
  <si>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</si>
  <si>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</si>
  <si>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</si>
  <si>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</si>
  <si>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</si>
  <si>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</si>
  <si>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</si>
  <si>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</si>
  <si>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</si>
  <si>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</si>
  <si>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</si>
  <si>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</si>
  <si>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</si>
  <si>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</si>
  <si>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</si>
  <si>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</si>
  <si>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</si>
  <si>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</si>
  <si>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</si>
  <si>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</si>
  <si>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</si>
  <si>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</si>
  <si>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</si>
  <si>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</si>
  <si>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</si>
  <si>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</si>
  <si>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</si>
  <si>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</si>
  <si>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</si>
  <si>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</si>
  <si>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</si>
  <si>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</si>
  <si>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</si>
  <si>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</si>
  <si>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</si>
  <si>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</si>
  <si>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</si>
  <si>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</si>
  <si>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</si>
  <si>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</si>
  <si>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</si>
  <si>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</si>
  <si>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</si>
  <si>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</si>
  <si>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</si>
  <si>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</si>
  <si>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</si>
  <si>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</si>
  <si>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</si>
  <si>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</si>
  <si>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</si>
  <si>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</si>
  <si>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</si>
  <si>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</si>
  <si>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</si>
  <si>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</si>
  <si>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</si>
  <si>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</si>
  <si>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</si>
  <si>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</si>
  <si>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</si>
  <si>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</si>
  <si>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</si>
  <si>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</si>
  <si>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</si>
  <si>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</si>
  <si>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</si>
  <si>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</si>
  <si>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</si>
  <si>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</si>
  <si>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</si>
  <si>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</si>
  <si>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</si>
  <si>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</si>
  <si>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</si>
  <si>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</si>
  <si>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</si>
  <si>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</si>
  <si>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</si>
  <si>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</si>
  <si>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</si>
  <si>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</si>
  <si>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</si>
  <si>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</si>
  <si>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</si>
  <si>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</si>
  <si>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</si>
  <si>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</si>
  <si>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</si>
  <si>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</si>
  <si>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</si>
  <si>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</si>
  <si>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</si>
  <si>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</si>
  <si>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</si>
  <si>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</si>
  <si>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</si>
  <si>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</si>
  <si>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</si>
  <si>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</si>
  <si>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</si>
  <si>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</si>
  <si>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</si>
  <si>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</si>
  <si>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</si>
  <si>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</si>
  <si>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FY 23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</si>
</sst>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15" fillId="0" borderId="0" xfId="0" applyNumberFormat="1" applyFont="1" applyProtection="1">
      <protection locked="0"/>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132" zoomScale="113" zoomScaleNormal="100" workbookViewId="0">
      <selection activeCell="H163" sqref="H163"/>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1344</v>
      </c>
      <c r="B2">
        <f>INDEX('School Tables'!$AH$3:$AH$213,MATCH('DOE25'!A2,'School Tables'!$AJ$3:$AJ$213,0))</f>
        <v>441</v>
      </c>
      <c r="C2">
        <f>INDEX('School Tables'!$AI$3:$AI$213,MATCH('DOE25'!A2,'School Tables'!$AJ$3:$AJ$213,0))</f>
        <v>441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81806.77+344657.89</f>
        <v>426464.66000000003</v>
      </c>
      <c r="G9" s="18"/>
      <c r="H9" s="18"/>
      <c r="I9" s="18"/>
      <c r="J9" s="13">
        <f>SUM(I440)</f>
        <v>523656.99999999994</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f>26755.89</f>
        <v>26755.89</v>
      </c>
      <c r="H12" s="18">
        <f>2.29-3194.71-6149.06-14694.37+10667.86+607.62+37896.63+0.08+83.65-14601+999.78+1900.16-11046.97</f>
        <v>2471.9600000000064</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f>3219.91</f>
        <v>3219.91</v>
      </c>
      <c r="H13" s="18">
        <f>2486.63+7230+17091.45+14601+7632.15+30435.61</f>
        <v>79476.84</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37980.11</f>
        <v>37980.11</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464444.77</v>
      </c>
      <c r="G19" s="38">
        <f>SUM(G9:G18)</f>
        <v>29975.8</v>
      </c>
      <c r="H19" s="38">
        <f>SUM(H9:H18)</f>
        <v>81948.800000000003</v>
      </c>
      <c r="I19" s="38">
        <f>SUM(I9:I18)</f>
        <v>0</v>
      </c>
      <c r="J19" s="38">
        <f>SUM(J9:J18)</f>
        <v>523656.99999999994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40275.07-11047.22</f>
        <v>29227.85</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118562.45</f>
        <v>118562.45</v>
      </c>
      <c r="G24" s="18">
        <v>6450.46</v>
      </c>
      <c r="H24" s="18">
        <f>3665.3+7716.15+30435.61</f>
        <v>41817.06</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213.7+4.31+8588.2+3832.49+132.69+65+4963.38+242.27</f>
        <v>18042.04</v>
      </c>
      <c r="G29" s="18"/>
      <c r="H29" s="18">
        <f>52.53+5.5+21.34+362.12+316.81+127.68+32.56</f>
        <v>918.54</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6417</v>
      </c>
      <c r="H30" s="18">
        <f>999.78</f>
        <v>999.78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165832.34</v>
      </c>
      <c r="G32" s="38">
        <f>SUM(G22:G31)</f>
        <v>12867.46</v>
      </c>
      <c r="H32" s="38">
        <f>SUM(H22:H31)</f>
        <v>43735.38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G19-G32</f>
        <v>17108.34</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t="s">
        <v>286</v>
      </c>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t="s">
        <v>286</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f>H19-H32</f>
        <v>38213.420000000006</v>
      </c>
      <c r="I48" s="18"/>
      <c r="J48" s="13">
        <f>SUM(I460)</f>
        <v>523656.99999999994</v>
      </c>
      <c r="K48" s="23" t="s">
        <v>288</v>
      </c>
      <c r="L48" s="23" t="s">
        <v>288</v>
      </c>
      <c r="M48" s="8"/>
      <c r="N48" s="164"/>
    </row>
    <row r="49" spans="1:14" s="3" customFormat="1" ht="12.2" customHeight="1" x14ac:dyDescent="0.15">
      <c r="A49" s="1" t="s">
        <v>855</v>
      </c>
      <c r="B49" s="2" t="s">
        <v>289</v>
      </c>
      <c r="C49" s="6">
        <v>34</v>
      </c>
      <c r="D49" s="2"/>
      <c r="E49" s="6">
        <v>753</v>
      </c>
      <c r="F49" s="18">
        <v>18536.5</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F19-F32-F49-10000</f>
        <v>270075.93000000005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298612.43000000005</v>
      </c>
      <c r="G51" s="38">
        <f>SUM(G35:G50)</f>
        <v>17108.34</v>
      </c>
      <c r="H51" s="38">
        <f>SUM(H35:H50)</f>
        <v>38213.420000000006</v>
      </c>
      <c r="I51" s="38">
        <f>SUM(I35:I50)</f>
        <v>0</v>
      </c>
      <c r="J51" s="38">
        <f>SUM(J35:J50)</f>
        <v>523656.99999999994</v>
      </c>
      <c r="K51" s="42" t="s">
        <v>288</v>
      </c>
      <c r="L51" s="42" t="s">
        <v>288</v>
      </c>
      <c r="N51" s="130"/>
    </row>
    <row r="52" spans="1:14" s="3" customFormat="1" ht="12.2" customHeight="1" thickTop="1" x14ac:dyDescent="0.15">
      <c r="A52" s="35" t="s">
        <v>455</v>
      </c>
      <c r="B52" s="36" t="s">
        <v>289</v>
      </c>
      <c r="C52" s="6">
        <v>37</v>
      </c>
      <c r="D52" s="36" t="s">
        <v>653</v>
      </c>
      <c r="E52" s="36"/>
      <c r="F52" s="38">
        <f>F51+F32</f>
        <v>464444.77</v>
      </c>
      <c r="G52" s="38">
        <f>G51+G32</f>
        <v>29975.8</v>
      </c>
      <c r="H52" s="38">
        <f>H51+H32</f>
        <v>81948.800000000003</v>
      </c>
      <c r="I52" s="38">
        <f>I51+I32</f>
        <v>0</v>
      </c>
      <c r="J52" s="38">
        <f>J51+J32</f>
        <v>523656.99999999994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5126496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5126496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21962.43</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21962.43</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18206.07+174.64</f>
        <v>18380.71</v>
      </c>
      <c r="G96" s="18"/>
      <c r="H96" s="18"/>
      <c r="I96" s="18"/>
      <c r="J96" s="18">
        <f>1074.1+1900.96+13175.49+67.6</f>
        <v>16218.15</v>
      </c>
      <c r="K96" s="23" t="s">
        <v>288</v>
      </c>
      <c r="L96" s="23" t="s">
        <v>288</v>
      </c>
      <c r="M96" s="8"/>
      <c r="N96" s="164"/>
    </row>
    <row r="97" spans="1:14" s="3" customFormat="1" ht="12.2" customHeight="1" x14ac:dyDescent="0.15">
      <c r="A97" s="1" t="s">
        <v>503</v>
      </c>
      <c r="B97" s="2" t="s">
        <v>315</v>
      </c>
      <c r="C97" s="6">
        <v>12</v>
      </c>
      <c r="D97" s="2" t="s">
        <v>430</v>
      </c>
      <c r="E97" s="6">
        <v>1600</v>
      </c>
      <c r="F97" s="23" t="s">
        <v>288</v>
      </c>
      <c r="G97" s="18">
        <f>36027.3</f>
        <v>36027.300000000003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365573.55</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100</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9426.7900000000009</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393481.05</v>
      </c>
      <c r="G111" s="38">
        <f>SUM(G96:G110)</f>
        <v>36027.300000000003</v>
      </c>
      <c r="H111" s="38">
        <f>SUM(H96:H110)</f>
        <v>0</v>
      </c>
      <c r="I111" s="38">
        <f>SUM(I96:I110)</f>
        <v>0</v>
      </c>
      <c r="J111" s="38">
        <f>SUM(J96:J110)</f>
        <v>16218.15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5541939.4799999995</v>
      </c>
      <c r="G112" s="38">
        <f>G60+G111</f>
        <v>36027.300000000003</v>
      </c>
      <c r="H112" s="38">
        <f>H60+H79+H94+H111</f>
        <v>0</v>
      </c>
      <c r="I112" s="38">
        <f>I60+I111</f>
        <v>0</v>
      </c>
      <c r="J112" s="38">
        <f>J60+J111</f>
        <v>16218.15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777136.28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592282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0</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1369418.28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349634.72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767.21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63438.48</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413073.19999999995</v>
      </c>
      <c r="G136" s="38">
        <f>SUM(G123:G135)</f>
        <v>767.21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1782491.48</v>
      </c>
      <c r="G140" s="38">
        <f>G121+SUM(G136:G137)</f>
        <v>767.21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v>26828.98</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26828.98</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6539.09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19000.48+8088.84</f>
        <v>27089.32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10128.709999999999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141345.28</f>
        <v>141345.28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10890.54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5670.24</v>
      </c>
      <c r="G161" s="18"/>
      <c r="H161" s="18">
        <f>30435.61+30435.61</f>
        <v>60871.22</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84+22347.9+7632.15</f>
        <v>30064.050000000003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16560.78</v>
      </c>
      <c r="G163" s="38">
        <f>SUM(G150:G162)</f>
        <v>10128.709999999999</v>
      </c>
      <c r="H163" s="38">
        <f>SUM(H150:H162)</f>
        <v>265908.96000000002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16560.78</v>
      </c>
      <c r="G170" s="38">
        <f>G147+G163+SUM(G164:G169)</f>
        <v>10128.709999999999</v>
      </c>
      <c r="H170" s="38">
        <f>H147+H163+SUM(H164:H169)</f>
        <v>292737.94</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16179.97</v>
      </c>
      <c r="H180" s="18"/>
      <c r="I180" s="18"/>
      <c r="J180" s="18">
        <v>30000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16179.97</v>
      </c>
      <c r="H184" s="38">
        <f>SUM(H180:H183)</f>
        <v>0</v>
      </c>
      <c r="I184" s="38">
        <f>SUM(I180:I183)</f>
        <v>0</v>
      </c>
      <c r="J184" s="38">
        <f>SUM(J180:J183)</f>
        <v>30000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16179.97</v>
      </c>
      <c r="H193" s="38">
        <f>+H184+SUM(H189:H192)</f>
        <v>0</v>
      </c>
      <c r="I193" s="38">
        <f>I178+I184+SUM(I189:I192)</f>
        <v>0</v>
      </c>
      <c r="J193" s="38">
        <f>J184</f>
        <v>30000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7340991.7399999993</v>
      </c>
      <c r="G194" s="38">
        <f>G112+G140+G170+G193</f>
        <v>63103.19</v>
      </c>
      <c r="H194" s="38">
        <f>H112+H140+H170+H193</f>
        <v>292737.94</v>
      </c>
      <c r="I194" s="38">
        <f>I112+I140+I170+I193</f>
        <v>0</v>
      </c>
      <c r="J194" s="38">
        <f>J112+J140+J193</f>
        <v>46218.15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1350714.53+3246.99</f>
        <v>1353961.52</v>
      </c>
      <c r="G198" s="18">
        <f>661081.34+103849.2+1539.39</f>
        <v>766469.92999999993</v>
      </c>
      <c r="H198" s="18">
        <v>38253.83</v>
      </c>
      <c r="I198" s="18">
        <f>80272.42-0.35</f>
        <v>80272.069999999992</v>
      </c>
      <c r="J198" s="18">
        <v>5089.32</v>
      </c>
      <c r="K198" s="18">
        <v>18815.5</v>
      </c>
      <c r="L198" s="13">
        <f>SUM(F198:K198)</f>
        <v>2262862.17</v>
      </c>
      <c r="M198" s="8"/>
      <c r="N198" s="164"/>
    </row>
    <row r="199" spans="1:14" s="3" customFormat="1" ht="12.2" customHeight="1" x14ac:dyDescent="0.15">
      <c r="A199" s="1" t="s">
        <v>439</v>
      </c>
      <c r="B199" s="2" t="s">
        <v>341</v>
      </c>
      <c r="C199" s="2" t="s">
        <v>291</v>
      </c>
      <c r="D199" s="2" t="s">
        <v>431</v>
      </c>
      <c r="E199" s="6">
        <v>1200</v>
      </c>
      <c r="F199" s="18">
        <v>478860.73</v>
      </c>
      <c r="G199" s="18">
        <f>222067.43+34884.55</f>
        <v>256951.97999999998</v>
      </c>
      <c r="H199" s="18">
        <f>247756.8+6477.51-17366.61</f>
        <v>236867.7</v>
      </c>
      <c r="I199" s="18">
        <v>1169.5899999999999</v>
      </c>
      <c r="J199" s="18"/>
      <c r="K199" s="18">
        <v>755</v>
      </c>
      <c r="L199" s="13">
        <f>SUM(F199:K199)</f>
        <v>974604.99999999988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28865</v>
      </c>
      <c r="G201" s="18">
        <f>3943.11+619.42</f>
        <v>4562.53</v>
      </c>
      <c r="H201" s="18"/>
      <c r="I201" s="18">
        <v>2095.9</v>
      </c>
      <c r="J201" s="18">
        <v>1960</v>
      </c>
      <c r="K201" s="18">
        <v>2800</v>
      </c>
      <c r="L201" s="13">
        <f>SUM(F201:K201)</f>
        <v>40283.43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69891.57+86500+75654</f>
        <v>232045.57</v>
      </c>
      <c r="G203" s="18">
        <f>39343.12+24927.07+31271.48+15008.63</f>
        <v>110550.3</v>
      </c>
      <c r="H203" s="18">
        <f>5315+20442.87-594.78</f>
        <v>25163.09</v>
      </c>
      <c r="I203" s="18">
        <f>1174.81+17263.2+1095.28</f>
        <v>19533.29</v>
      </c>
      <c r="J203" s="18">
        <f>19790.71+266.13</f>
        <v>20056.84</v>
      </c>
      <c r="K203" s="18">
        <f>1308+212.3+965</f>
        <v>2485.3000000000002</v>
      </c>
      <c r="L203" s="13">
        <f t="shared" ref="L203:L209" si="0">SUM(F203:K203)</f>
        <v>409834.39</v>
      </c>
      <c r="M203" s="8"/>
      <c r="N203" s="164"/>
    </row>
    <row r="204" spans="1:14" s="3" customFormat="1" ht="12.2" customHeight="1" x14ac:dyDescent="0.15">
      <c r="A204" s="1" t="s">
        <v>443</v>
      </c>
      <c r="B204" s="2" t="s">
        <v>341</v>
      </c>
      <c r="C204" s="2" t="s">
        <v>295</v>
      </c>
      <c r="D204" s="2" t="s">
        <v>431</v>
      </c>
      <c r="E204" s="6">
        <v>2200</v>
      </c>
      <c r="F204" s="18">
        <f>19516.49+66354.9</f>
        <v>85871.39</v>
      </c>
      <c r="G204" s="18">
        <f>10018.75+35780.44+7194.59</f>
        <v>52993.78</v>
      </c>
      <c r="H204" s="18">
        <f>28543.22+12754.42+3667.53</f>
        <v>44965.17</v>
      </c>
      <c r="I204" s="18">
        <f>1692.78+10279.33</f>
        <v>11972.11</v>
      </c>
      <c r="J204" s="18"/>
      <c r="K204" s="18"/>
      <c r="L204" s="13">
        <f t="shared" si="0"/>
        <v>195802.44999999995</v>
      </c>
      <c r="M204" s="8"/>
      <c r="N204" s="164"/>
    </row>
    <row r="205" spans="1:14" s="3" customFormat="1" ht="12.2" customHeight="1" x14ac:dyDescent="0.15">
      <c r="A205" s="1" t="s">
        <v>444</v>
      </c>
      <c r="B205" s="2" t="s">
        <v>341</v>
      </c>
      <c r="C205" s="2" t="s">
        <v>296</v>
      </c>
      <c r="D205" s="2" t="s">
        <v>431</v>
      </c>
      <c r="E205" s="6">
        <v>2300</v>
      </c>
      <c r="F205" s="18">
        <f>3961.55+333045.3</f>
        <v>337006.85</v>
      </c>
      <c r="G205" s="18">
        <f>15.3+144239.57+22660.98</f>
        <v>166915.85</v>
      </c>
      <c r="H205" s="18">
        <f>23062.4+111236.18</f>
        <v>134298.57999999999</v>
      </c>
      <c r="I205" s="18">
        <f>1840.08+3401.07</f>
        <v>5241.1499999999996</v>
      </c>
      <c r="J205" s="18">
        <f>825</f>
        <v>825</v>
      </c>
      <c r="K205" s="18">
        <f>5161.87+6107.79</f>
        <v>11269.66</v>
      </c>
      <c r="L205" s="13">
        <f t="shared" si="0"/>
        <v>655557.09</v>
      </c>
      <c r="M205" s="8"/>
      <c r="N205" s="164"/>
    </row>
    <row r="206" spans="1:14" s="3" customFormat="1" ht="12.2" customHeight="1" x14ac:dyDescent="0.15">
      <c r="A206" s="1" t="s">
        <v>445</v>
      </c>
      <c r="B206" s="2" t="s">
        <v>341</v>
      </c>
      <c r="C206" s="2" t="s">
        <v>297</v>
      </c>
      <c r="D206" s="2" t="s">
        <v>431</v>
      </c>
      <c r="E206" s="6">
        <v>2400</v>
      </c>
      <c r="F206" s="18">
        <v>199791.84</v>
      </c>
      <c r="G206" s="18">
        <f>105276.06+41786.61+23102.06</f>
        <v>170164.72999999998</v>
      </c>
      <c r="H206" s="18">
        <f>10736.96</f>
        <v>10736.96</v>
      </c>
      <c r="I206" s="18">
        <v>1770.36</v>
      </c>
      <c r="J206" s="18">
        <v>881.73</v>
      </c>
      <c r="K206" s="18">
        <v>3099</v>
      </c>
      <c r="L206" s="13">
        <f t="shared" si="0"/>
        <v>386444.61999999994</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169918.84</f>
        <v>169918.84</v>
      </c>
      <c r="G208" s="18">
        <f>64408.13+10117.87</f>
        <v>74526</v>
      </c>
      <c r="H208" s="18">
        <f>66213.56</f>
        <v>66213.56</v>
      </c>
      <c r="I208" s="18">
        <f>69053.55</f>
        <v>69053.55</v>
      </c>
      <c r="J208" s="18">
        <v>5422.03</v>
      </c>
      <c r="K208" s="18">
        <v>481.2</v>
      </c>
      <c r="L208" s="13">
        <f t="shared" si="0"/>
        <v>385615.18000000005</v>
      </c>
      <c r="M208" s="8"/>
      <c r="N208" s="164"/>
    </row>
    <row r="209" spans="1:14" s="3" customFormat="1" ht="12.2" customHeight="1" x14ac:dyDescent="0.15">
      <c r="A209" s="1" t="s">
        <v>448</v>
      </c>
      <c r="B209" s="2" t="s">
        <v>341</v>
      </c>
      <c r="C209" s="2" t="s">
        <v>300</v>
      </c>
      <c r="D209" s="2" t="s">
        <v>431</v>
      </c>
      <c r="E209" s="6">
        <v>2700</v>
      </c>
      <c r="F209" s="18"/>
      <c r="G209" s="18"/>
      <c r="H209" s="18">
        <f>294991.93</f>
        <v>294991.93</v>
      </c>
      <c r="I209" s="18"/>
      <c r="J209" s="18"/>
      <c r="K209" s="18"/>
      <c r="L209" s="13">
        <f t="shared" si="0"/>
        <v>294991.93</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2886321.7399999998</v>
      </c>
      <c r="G212" s="38">
        <f t="shared" si="1"/>
        <v>1603135.1</v>
      </c>
      <c r="H212" s="38">
        <f t="shared" si="1"/>
        <v>851490.82000000007</v>
      </c>
      <c r="I212" s="38">
        <f t="shared" si="1"/>
        <v>191108.01999999996</v>
      </c>
      <c r="J212" s="38">
        <f t="shared" si="1"/>
        <v>34234.92</v>
      </c>
      <c r="K212" s="38">
        <f t="shared" si="1"/>
        <v>39705.659999999996</v>
      </c>
      <c r="L212" s="38">
        <f t="shared" si="1"/>
        <v>5605996.2599999998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1168390</v>
      </c>
      <c r="I234" s="18"/>
      <c r="J234" s="18"/>
      <c r="K234" s="18"/>
      <c r="L234" s="13">
        <f>SUM(F234:K234)</f>
        <v>1168390</v>
      </c>
      <c r="M234" s="8"/>
      <c r="N234" s="164"/>
    </row>
    <row r="235" spans="1:14" s="3" customFormat="1" ht="12.2" customHeight="1" x14ac:dyDescent="0.15">
      <c r="A235" s="1" t="s">
        <v>439</v>
      </c>
      <c r="B235" s="2" t="s">
        <v>350</v>
      </c>
      <c r="C235" s="2" t="s">
        <v>291</v>
      </c>
      <c r="D235" s="2" t="s">
        <v>431</v>
      </c>
      <c r="E235" s="6">
        <v>1200</v>
      </c>
      <c r="F235" s="18"/>
      <c r="G235" s="18"/>
      <c r="H235" s="18">
        <v>637305.94999999995</v>
      </c>
      <c r="I235" s="18"/>
      <c r="J235" s="18"/>
      <c r="K235" s="18"/>
      <c r="L235" s="13">
        <f>SUM(F235:K235)</f>
        <v>637305.94999999995</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1805695.95</v>
      </c>
      <c r="I248" s="38">
        <f t="shared" si="5"/>
        <v>0</v>
      </c>
      <c r="J248" s="38">
        <f t="shared" si="5"/>
        <v>0</v>
      </c>
      <c r="K248" s="38">
        <f t="shared" si="5"/>
        <v>0</v>
      </c>
      <c r="L248" s="38">
        <f t="shared" si="5"/>
        <v>1805695.95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52041.13</v>
      </c>
      <c r="I256" s="18"/>
      <c r="J256" s="18">
        <v>3795</v>
      </c>
      <c r="K256" s="18"/>
      <c r="L256" s="13">
        <f t="shared" si="6"/>
        <v>55836.13</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52041.13</v>
      </c>
      <c r="I257" s="38">
        <f t="shared" si="7"/>
        <v>0</v>
      </c>
      <c r="J257" s="38">
        <f t="shared" si="7"/>
        <v>3795</v>
      </c>
      <c r="K257" s="38">
        <f t="shared" si="7"/>
        <v>0</v>
      </c>
      <c r="L257" s="38">
        <f>SUM(F257:K257)</f>
        <v>55836.13</v>
      </c>
      <c r="M257" s="8"/>
      <c r="N257" s="164"/>
    </row>
    <row r="258" spans="1:14" s="3" customFormat="1" ht="12.2" customHeight="1" thickTop="1" x14ac:dyDescent="0.15">
      <c r="A258" s="35" t="s">
        <v>462</v>
      </c>
      <c r="B258" s="37">
        <v>10</v>
      </c>
      <c r="C258" s="37">
        <v>8</v>
      </c>
      <c r="D258" s="36" t="s">
        <v>431</v>
      </c>
      <c r="E258" s="37"/>
      <c r="F258" s="38">
        <f t="shared" ref="F258:L258" si="8">F212+F230+F248+F257</f>
        <v>2886321.7399999998</v>
      </c>
      <c r="G258" s="38">
        <f t="shared" si="8"/>
        <v>1603135.1</v>
      </c>
      <c r="H258" s="38">
        <f t="shared" si="8"/>
        <v>2709227.9</v>
      </c>
      <c r="I258" s="38">
        <f t="shared" si="8"/>
        <v>191108.01999999996</v>
      </c>
      <c r="J258" s="38">
        <f t="shared" si="8"/>
        <v>38029.919999999998</v>
      </c>
      <c r="K258" s="38">
        <f t="shared" si="8"/>
        <v>39705.659999999996</v>
      </c>
      <c r="L258" s="38">
        <f t="shared" si="8"/>
        <v>7467528.3399999999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16179.97</v>
      </c>
      <c r="L264" s="13">
        <f>SUM(F264:K264)</f>
        <v>16179.97</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30000</f>
        <v>30000</v>
      </c>
      <c r="L267" s="13">
        <f t="shared" si="9"/>
        <v>30000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46179.97</v>
      </c>
      <c r="L271" s="38">
        <f t="shared" si="9"/>
        <v>46179.97</v>
      </c>
      <c r="M271" s="8"/>
      <c r="N271" s="164"/>
    </row>
    <row r="272" spans="1:14" s="33" customFormat="1" ht="12.2" customHeight="1" thickTop="1" x14ac:dyDescent="0.2">
      <c r="A272" s="40" t="s">
        <v>464</v>
      </c>
      <c r="B272" s="37">
        <v>10</v>
      </c>
      <c r="C272" s="37">
        <v>18</v>
      </c>
      <c r="D272" s="36" t="s">
        <v>431</v>
      </c>
      <c r="E272" s="37"/>
      <c r="F272" s="39">
        <f t="shared" ref="F272:L272" si="11">F258+F271</f>
        <v>2886321.7399999998</v>
      </c>
      <c r="G272" s="39">
        <f t="shared" si="11"/>
        <v>1603135.1</v>
      </c>
      <c r="H272" s="39">
        <f t="shared" si="11"/>
        <v>2709227.9</v>
      </c>
      <c r="I272" s="39">
        <f t="shared" si="11"/>
        <v>191108.01999999996</v>
      </c>
      <c r="J272" s="39">
        <f t="shared" si="11"/>
        <v>38029.919999999998</v>
      </c>
      <c r="K272" s="39">
        <f t="shared" si="11"/>
        <v>85885.63</v>
      </c>
      <c r="L272" s="39">
        <f t="shared" si="11"/>
        <v>7513708.3099999996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9786.08+27449.28+445.08-3246.99</f>
        <v>34433.450000000004</v>
      </c>
      <c r="G277" s="18"/>
      <c r="H277" s="18">
        <f>785.34+17366.61+374.43</f>
        <v>18526.38</v>
      </c>
      <c r="I277" s="18">
        <v>2101</v>
      </c>
      <c r="J277" s="18"/>
      <c r="K277" s="18"/>
      <c r="L277" s="13">
        <f>SUM(F277:K277)</f>
        <v>55060.83</v>
      </c>
      <c r="M277" s="8"/>
      <c r="N277" s="164"/>
    </row>
    <row r="278" spans="1:14" s="3" customFormat="1" ht="12.2" customHeight="1" x14ac:dyDescent="0.15">
      <c r="A278" s="1" t="s">
        <v>439</v>
      </c>
      <c r="B278" s="2" t="s">
        <v>357</v>
      </c>
      <c r="C278" s="2" t="s">
        <v>291</v>
      </c>
      <c r="D278" s="2" t="s">
        <v>431</v>
      </c>
      <c r="E278" s="6">
        <v>1200</v>
      </c>
      <c r="F278" s="18">
        <v>52889.42</v>
      </c>
      <c r="G278" s="18"/>
      <c r="H278" s="18">
        <v>29973.4</v>
      </c>
      <c r="I278" s="18">
        <v>11038.57</v>
      </c>
      <c r="J278" s="18"/>
      <c r="K278" s="18">
        <v>75</v>
      </c>
      <c r="L278" s="13">
        <f>SUM(F278:K278)</f>
        <v>93976.390000000014</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4"/>
      <c r="G282" s="4"/>
      <c r="H282" s="4">
        <f>8088.84+3437.5+12500+594.88</f>
        <v>24621.22</v>
      </c>
      <c r="I282" s="4"/>
      <c r="J282" s="18">
        <f>419+7746.9</f>
        <v>8165.9</v>
      </c>
      <c r="K282" s="18"/>
      <c r="L282" s="13">
        <f t="shared" ref="L282:L288" si="12">SUM(F282:K282)</f>
        <v>32787.120000000003</v>
      </c>
      <c r="M282" s="8"/>
      <c r="N282" s="164"/>
    </row>
    <row r="283" spans="1:14" s="3" customFormat="1" ht="12.2" customHeight="1" x14ac:dyDescent="0.15">
      <c r="A283" s="1" t="s">
        <v>443</v>
      </c>
      <c r="B283" s="2" t="s">
        <v>357</v>
      </c>
      <c r="C283" s="2" t="s">
        <v>295</v>
      </c>
      <c r="D283" s="2" t="s">
        <v>431</v>
      </c>
      <c r="E283" s="6">
        <v>2200</v>
      </c>
      <c r="F283" s="18">
        <f>16227.19+5149.73</f>
        <v>21376.92</v>
      </c>
      <c r="G283" s="18"/>
      <c r="H283" s="18">
        <f>3799.4+2111.23+2500+2134+7716.15-3667.53</f>
        <v>14593.249999999998</v>
      </c>
      <c r="I283" s="18">
        <f>530.19</f>
        <v>530.19000000000005</v>
      </c>
      <c r="J283" s="18">
        <v>13016.45</v>
      </c>
      <c r="K283" s="18"/>
      <c r="L283" s="13">
        <f>SUM(F283:K283)</f>
        <v>49516.81</v>
      </c>
      <c r="M283" s="8"/>
      <c r="N283" s="164"/>
    </row>
    <row r="284" spans="1:14" s="3" customFormat="1" ht="12.2" customHeight="1" x14ac:dyDescent="0.15">
      <c r="A284" s="1" t="s">
        <v>444</v>
      </c>
      <c r="B284" s="2" t="s">
        <v>357</v>
      </c>
      <c r="C284" s="2" t="s">
        <v>296</v>
      </c>
      <c r="D284" s="2" t="s">
        <v>431</v>
      </c>
      <c r="E284" s="6">
        <v>2300</v>
      </c>
      <c r="F284" s="18"/>
      <c r="G284" s="18"/>
      <c r="H284" s="18"/>
      <c r="I284" s="18">
        <v>900</v>
      </c>
      <c r="J284" s="18"/>
      <c r="K284" s="18"/>
      <c r="L284" s="13">
        <f t="shared" si="12"/>
        <v>900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60871.22</v>
      </c>
      <c r="I287" s="18"/>
      <c r="J287" s="18"/>
      <c r="K287" s="18"/>
      <c r="L287" s="13">
        <f t="shared" si="12"/>
        <v>60871.22</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108699.79</v>
      </c>
      <c r="G291" s="39">
        <f t="shared" si="13"/>
        <v>0</v>
      </c>
      <c r="H291" s="39">
        <f t="shared" si="13"/>
        <v>148585.47</v>
      </c>
      <c r="I291" s="39">
        <f t="shared" si="13"/>
        <v>14569.76</v>
      </c>
      <c r="J291" s="39">
        <f t="shared" si="13"/>
        <v>21182.35</v>
      </c>
      <c r="K291" s="39">
        <f t="shared" si="13"/>
        <v>75</v>
      </c>
      <c r="L291" s="38">
        <f t="shared" si="13"/>
        <v>293112.37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108699.79</v>
      </c>
      <c r="G339" s="38">
        <f t="shared" si="20"/>
        <v>0</v>
      </c>
      <c r="H339" s="38">
        <f t="shared" si="20"/>
        <v>148585.47</v>
      </c>
      <c r="I339" s="38">
        <f t="shared" si="20"/>
        <v>14569.76</v>
      </c>
      <c r="J339" s="38">
        <f t="shared" si="20"/>
        <v>21182.35</v>
      </c>
      <c r="K339" s="38">
        <f t="shared" si="20"/>
        <v>75</v>
      </c>
      <c r="L339" s="38">
        <f t="shared" si="20"/>
        <v>293112.37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108699.79</v>
      </c>
      <c r="G353" s="38">
        <f>G339</f>
        <v>0</v>
      </c>
      <c r="H353" s="38">
        <f>H339</f>
        <v>148585.47</v>
      </c>
      <c r="I353" s="38">
        <f>I339</f>
        <v>14569.76</v>
      </c>
      <c r="J353" s="38">
        <f>J339</f>
        <v>21182.35</v>
      </c>
      <c r="K353" s="38">
        <f>K339+K352</f>
        <v>75</v>
      </c>
      <c r="L353" s="38">
        <f>L339+L352</f>
        <v>293112.37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2500</v>
      </c>
      <c r="G359" s="18">
        <v>191.25</v>
      </c>
      <c r="H359" s="18">
        <f>59560.4+797.66</f>
        <v>60358.060000000005</v>
      </c>
      <c r="I359" s="18">
        <v>809.54</v>
      </c>
      <c r="J359" s="18"/>
      <c r="K359" s="18">
        <v>42</v>
      </c>
      <c r="L359" s="13">
        <f>SUM(F359:K359)</f>
        <v>63900.850000000006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2500</v>
      </c>
      <c r="G363" s="38">
        <f t="shared" si="22"/>
        <v>191.25</v>
      </c>
      <c r="H363" s="38">
        <f t="shared" si="22"/>
        <v>60358.060000000005</v>
      </c>
      <c r="I363" s="38">
        <f t="shared" si="22"/>
        <v>809.54</v>
      </c>
      <c r="J363" s="38">
        <f t="shared" si="22"/>
        <v>0</v>
      </c>
      <c r="K363" s="38">
        <f t="shared" si="22"/>
        <v>42</v>
      </c>
      <c r="L363" s="38">
        <f t="shared" si="22"/>
        <v>63900.850000000006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809.54</v>
      </c>
      <c r="G369" s="53"/>
      <c r="H369" s="53"/>
      <c r="I369" s="13">
        <f>SUM(F369:H369)</f>
        <v>809.54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809.54</v>
      </c>
      <c r="G370" s="38">
        <f>SUM(G368:G369)</f>
        <v>0</v>
      </c>
      <c r="H370" s="38">
        <f>SUM(H368:H369)</f>
        <v>0</v>
      </c>
      <c r="I370" s="38">
        <f>SUM(I368:I369)</f>
        <v>809.54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f>1900.96</f>
        <v>1900.96</v>
      </c>
      <c r="I396" s="18"/>
      <c r="J396" s="23" t="s">
        <v>288</v>
      </c>
      <c r="K396" s="23" t="s">
        <v>288</v>
      </c>
      <c r="L396" s="13">
        <f t="shared" ref="L396:L401" si="26">SUM(F396:K396)</f>
        <v>1900.96</v>
      </c>
      <c r="M396" s="8"/>
      <c r="N396" s="164"/>
    </row>
    <row r="397" spans="1:14" s="3" customFormat="1" ht="12.2" customHeight="1" x14ac:dyDescent="0.15">
      <c r="A397" s="62" t="s">
        <v>557</v>
      </c>
      <c r="B397" s="2" t="s">
        <v>381</v>
      </c>
      <c r="C397" s="6">
        <v>9</v>
      </c>
      <c r="D397" s="2" t="s">
        <v>432</v>
      </c>
      <c r="E397" s="6"/>
      <c r="F397" s="18"/>
      <c r="G397" s="18"/>
      <c r="H397" s="18">
        <f>1074.1</f>
        <v>1074.0999999999999</v>
      </c>
      <c r="I397" s="18"/>
      <c r="J397" s="23" t="s">
        <v>288</v>
      </c>
      <c r="K397" s="23" t="s">
        <v>288</v>
      </c>
      <c r="L397" s="13">
        <f t="shared" si="26"/>
        <v>1074.0999999999999</v>
      </c>
      <c r="M397" s="8"/>
      <c r="N397" s="164"/>
    </row>
    <row r="398" spans="1:14" s="3" customFormat="1" ht="12.2" customHeight="1" x14ac:dyDescent="0.15">
      <c r="A398" s="62" t="s">
        <v>515</v>
      </c>
      <c r="B398" s="2" t="s">
        <v>381</v>
      </c>
      <c r="C398" s="6">
        <v>10</v>
      </c>
      <c r="D398" s="2" t="s">
        <v>432</v>
      </c>
      <c r="E398" s="6"/>
      <c r="F398" s="18"/>
      <c r="G398" s="18"/>
      <c r="H398" s="18">
        <f>13175.49</f>
        <v>13175.49</v>
      </c>
      <c r="I398" s="18"/>
      <c r="J398" s="23" t="s">
        <v>288</v>
      </c>
      <c r="K398" s="23" t="s">
        <v>288</v>
      </c>
      <c r="L398" s="13">
        <f t="shared" si="26"/>
        <v>13175.49</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30000</v>
      </c>
      <c r="H401" s="18">
        <v>67.599999999999994</v>
      </c>
      <c r="I401" s="18"/>
      <c r="J401" s="23" t="s">
        <v>288</v>
      </c>
      <c r="K401" s="23" t="s">
        <v>288</v>
      </c>
      <c r="L401" s="13">
        <f t="shared" si="26"/>
        <v>30067.599999999999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16218.15</v>
      </c>
      <c r="I402" s="38">
        <f>SUM(I396:I401)</f>
        <v>0</v>
      </c>
      <c r="J402" s="42" t="s">
        <v>288</v>
      </c>
      <c r="K402" s="42" t="s">
        <v>288</v>
      </c>
      <c r="L402" s="38">
        <f>SUM(L396:L401)</f>
        <v>46218.149999999994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30000</v>
      </c>
      <c r="H409" s="38">
        <f>H394+H402+H408</f>
        <v>16218.15</v>
      </c>
      <c r="I409" s="38">
        <f>I394+I402+I408</f>
        <v>0</v>
      </c>
      <c r="J409" s="23" t="s">
        <v>288</v>
      </c>
      <c r="K409" s="23" t="s">
        <v>288</v>
      </c>
      <c r="L409" s="38">
        <f>L394+L402+L408</f>
        <v>46218.149999999994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32826.61</f>
        <v>32826.61</v>
      </c>
      <c r="G440" s="18">
        <f>58096.73+402666.06+30067.6</f>
        <v>490830.38999999996</v>
      </c>
      <c r="H440" s="18"/>
      <c r="I440" s="13">
        <f t="shared" ref="I440:I446" si="33">SUM(F440:H440)</f>
        <v>523656.99999999994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32826.61</v>
      </c>
      <c r="G447" s="13">
        <f>SUM(G440:G446)</f>
        <v>490830.38999999996</v>
      </c>
      <c r="H447" s="13">
        <f>SUM(H440:H446)</f>
        <v>0</v>
      </c>
      <c r="I447" s="13">
        <f>SUM(I440:I446)</f>
        <v>523656.99999999994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F447</f>
        <v>32826.61</v>
      </c>
      <c r="G460" s="18">
        <f>G447</f>
        <v>490830.38999999996</v>
      </c>
      <c r="H460" s="18"/>
      <c r="I460" s="13">
        <f t="shared" si="34"/>
        <v>523656.99999999994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32826.61</v>
      </c>
      <c r="G461" s="65">
        <f>SUM(G455:G460)</f>
        <v>490830.38999999996</v>
      </c>
      <c r="H461" s="65">
        <f>SUM(H455:H460)</f>
        <v>0</v>
      </c>
      <c r="I461" s="65">
        <f>SUM(I455:I460)</f>
        <v>523656.99999999994</v>
      </c>
      <c r="J461" s="23" t="s">
        <v>288</v>
      </c>
      <c r="K461" s="23" t="s">
        <v>288</v>
      </c>
      <c r="L461" s="23" t="s">
        <v>288</v>
      </c>
      <c r="N461" s="130"/>
    </row>
    <row r="462" spans="1:86" ht="12.2" customHeight="1" thickTop="1" x14ac:dyDescent="0.2">
      <c r="A462" s="40" t="s">
        <v>424</v>
      </c>
      <c r="B462" s="41">
        <v>18</v>
      </c>
      <c r="C462" s="64">
        <v>21</v>
      </c>
      <c r="D462" s="114" t="s">
        <v>432</v>
      </c>
      <c r="E462" s="64"/>
      <c r="F462" s="39">
        <f>F453+F461</f>
        <v>32826.61</v>
      </c>
      <c r="G462" s="39">
        <f>G453+G461</f>
        <v>490830.38999999996</v>
      </c>
      <c r="H462" s="39">
        <f>H453+H461</f>
        <v>0</v>
      </c>
      <c r="I462" s="39">
        <f>I453+I461</f>
        <v>523656.99999999994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423615.07</v>
      </c>
      <c r="G466" s="18">
        <v>23579.34</v>
      </c>
      <c r="H466" s="18">
        <v>38587.85</v>
      </c>
      <c r="I466" s="18"/>
      <c r="J466" s="18">
        <f>31752.51+56195.77+389490.57</f>
        <v>477438.85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7340991.7399999993</v>
      </c>
      <c r="G469" s="18">
        <f>G194</f>
        <v>63103.19</v>
      </c>
      <c r="H469" s="18">
        <f>H194</f>
        <v>292737.94</v>
      </c>
      <c r="I469" s="18"/>
      <c r="J469" s="18">
        <f>L409</f>
        <v>46218.149999999994</v>
      </c>
      <c r="K469" s="23" t="s">
        <v>288</v>
      </c>
      <c r="L469" s="23" t="s">
        <v>288</v>
      </c>
      <c r="N469" s="130"/>
    </row>
    <row r="470" spans="1:14" ht="12.2" customHeight="1" x14ac:dyDescent="0.2">
      <c r="A470" s="71" t="s">
        <v>611</v>
      </c>
      <c r="B470" s="22">
        <v>19</v>
      </c>
      <c r="C470" s="31">
        <v>3</v>
      </c>
      <c r="D470" s="2" t="s">
        <v>432</v>
      </c>
      <c r="E470" s="31"/>
      <c r="F470" s="18">
        <v>47713.93</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7388705.669999999</v>
      </c>
      <c r="G471" s="19">
        <f>SUM(G469:G470)</f>
        <v>63103.19</v>
      </c>
      <c r="H471" s="19">
        <f>SUM(H469:H470)</f>
        <v>292737.94</v>
      </c>
      <c r="I471" s="19">
        <f>SUM(I469:I470)</f>
        <v>0</v>
      </c>
      <c r="J471" s="19">
        <f>SUM(J469:J470)</f>
        <v>46218.149999999994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7513708.3099999996</v>
      </c>
      <c r="G473" s="18">
        <f>L363</f>
        <v>63900.850000000006</v>
      </c>
      <c r="H473" s="18">
        <f>L291</f>
        <v>293112.37</v>
      </c>
      <c r="I473" s="18"/>
      <c r="J473" s="18"/>
      <c r="K473" s="23" t="s">
        <v>288</v>
      </c>
      <c r="L473" s="23" t="s">
        <v>288</v>
      </c>
      <c r="N473" s="130"/>
    </row>
    <row r="474" spans="1:14" ht="12.2" customHeight="1" x14ac:dyDescent="0.2">
      <c r="A474" s="71" t="s">
        <v>613</v>
      </c>
      <c r="B474" s="22">
        <v>19</v>
      </c>
      <c r="C474" s="31">
        <v>6</v>
      </c>
      <c r="D474" s="2" t="s">
        <v>432</v>
      </c>
      <c r="E474" s="31"/>
      <c r="F474" s="18">
        <v>0</v>
      </c>
      <c r="G474" s="18">
        <v>5673.34</v>
      </c>
      <c r="H474" s="18"/>
      <c r="I474" s="18"/>
      <c r="J474" s="18"/>
      <c r="K474" s="23" t="s">
        <v>288</v>
      </c>
      <c r="L474" s="23" t="s">
        <v>288</v>
      </c>
      <c r="N474" s="130"/>
    </row>
    <row r="475" spans="1:14" ht="12.2" customHeight="1" x14ac:dyDescent="0.2">
      <c r="A475" s="32" t="s">
        <v>426</v>
      </c>
      <c r="B475" s="22">
        <v>19</v>
      </c>
      <c r="C475" s="31">
        <v>7</v>
      </c>
      <c r="D475" s="2" t="s">
        <v>432</v>
      </c>
      <c r="E475" s="31"/>
      <c r="F475" s="19">
        <f>SUM(F473:F474)</f>
        <v>7513708.3099999996</v>
      </c>
      <c r="G475" s="19">
        <f>SUM(G473:G474)</f>
        <v>69574.19</v>
      </c>
      <c r="H475" s="19">
        <f>SUM(H473:H474)</f>
        <v>293112.37</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298612.4299999997</v>
      </c>
      <c r="G477" s="19">
        <f>(G466+G471)- G475</f>
        <v>17108.339999999997</v>
      </c>
      <c r="H477" s="19">
        <f>(H466+H471)- H475</f>
        <v>38213.419999999984</v>
      </c>
      <c r="I477" s="19">
        <f>(I466+I471)- I475</f>
        <v>0</v>
      </c>
      <c r="J477" s="19">
        <f>(J466+J471)- J475</f>
        <v>523657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F199+F278</f>
        <v>531750.15</v>
      </c>
      <c r="G522" s="18">
        <f>G199+G278</f>
        <v>256951.97999999998</v>
      </c>
      <c r="H522" s="18">
        <f>H199+H278</f>
        <v>266841.10000000003</v>
      </c>
      <c r="I522" s="18">
        <f t="shared" ref="I522:K522" si="36">I199+I278</f>
        <v>12208.16</v>
      </c>
      <c r="J522" s="18">
        <f t="shared" si="36"/>
        <v>0</v>
      </c>
      <c r="K522" s="18">
        <f t="shared" si="36"/>
        <v>830</v>
      </c>
      <c r="L522" s="69">
        <f>SUM(F522:K522)</f>
        <v>1068581.3899999999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637305.94999999995</v>
      </c>
      <c r="I524" s="18"/>
      <c r="J524" s="18"/>
      <c r="K524" s="18"/>
      <c r="L524" s="69">
        <f>SUM(F524:K524)</f>
        <v>637305.94999999995</v>
      </c>
      <c r="N524" s="130"/>
    </row>
    <row r="525" spans="1:14" ht="12.2" customHeight="1" thickTop="1" x14ac:dyDescent="0.2">
      <c r="A525" s="97" t="s">
        <v>63</v>
      </c>
      <c r="B525" s="41">
        <v>21</v>
      </c>
      <c r="C525" s="41">
        <v>4</v>
      </c>
      <c r="D525" s="115" t="s">
        <v>432</v>
      </c>
      <c r="E525" s="41"/>
      <c r="F525" s="81">
        <f>SUM(F522:F524)</f>
        <v>531750.15</v>
      </c>
      <c r="G525" s="81">
        <f t="shared" ref="G525:L525" si="37">SUM(G522:G524)</f>
        <v>256951.97999999998</v>
      </c>
      <c r="H525" s="81">
        <f t="shared" si="37"/>
        <v>904147.05</v>
      </c>
      <c r="I525" s="81">
        <f t="shared" si="37"/>
        <v>12208.16</v>
      </c>
      <c r="J525" s="81">
        <f t="shared" si="37"/>
        <v>0</v>
      </c>
      <c r="K525" s="81">
        <f t="shared" si="37"/>
        <v>830</v>
      </c>
      <c r="L525" s="70">
        <f t="shared" si="37"/>
        <v>1705887.3399999999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F203+F282-75654</f>
        <v>156391.57</v>
      </c>
      <c r="G527" s="18">
        <f>G203+G282-31271.48</f>
        <v>79278.820000000007</v>
      </c>
      <c r="H527" s="18">
        <f t="shared" ref="H527" si="38">H203+H282</f>
        <v>49784.31</v>
      </c>
      <c r="I527" s="18">
        <f>I203+I282-1095.28</f>
        <v>18438.010000000002</v>
      </c>
      <c r="J527" s="18">
        <f>J203+J282-266.13</f>
        <v>27956.609999999997</v>
      </c>
      <c r="K527" s="18">
        <f>K203+K282-965</f>
        <v>1520.3000000000002</v>
      </c>
      <c r="L527" s="69">
        <f>SUM(F527:K527)</f>
        <v>333369.62</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156391.57</v>
      </c>
      <c r="G530" s="70">
        <f t="shared" ref="G530:L530" si="39">SUM(G527:G529)</f>
        <v>79278.820000000007</v>
      </c>
      <c r="H530" s="70">
        <f t="shared" si="39"/>
        <v>49784.31</v>
      </c>
      <c r="I530" s="70">
        <f t="shared" si="39"/>
        <v>18438.010000000002</v>
      </c>
      <c r="J530" s="70">
        <f t="shared" si="39"/>
        <v>27956.609999999997</v>
      </c>
      <c r="K530" s="70">
        <f t="shared" si="39"/>
        <v>1520.3000000000002</v>
      </c>
      <c r="L530" s="70">
        <f t="shared" si="39"/>
        <v>333369.62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40">SUM(G532:G534)</f>
        <v>0</v>
      </c>
      <c r="H535" s="70">
        <f t="shared" si="40"/>
        <v>0</v>
      </c>
      <c r="I535" s="70">
        <f t="shared" si="40"/>
        <v>0</v>
      </c>
      <c r="J535" s="70">
        <f t="shared" si="40"/>
        <v>0</v>
      </c>
      <c r="K535" s="70">
        <f t="shared" si="40"/>
        <v>0</v>
      </c>
      <c r="L535" s="70">
        <f t="shared" si="40"/>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8421.27+57930</f>
        <v>66351.27</v>
      </c>
      <c r="I542" s="18"/>
      <c r="J542" s="18"/>
      <c r="K542" s="18"/>
      <c r="L542" s="69">
        <f>SUM(F542:K542)</f>
        <v>66351.27</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2">SUM(G542:G544)</f>
        <v>0</v>
      </c>
      <c r="H545" s="140">
        <f t="shared" si="42"/>
        <v>66351.27</v>
      </c>
      <c r="I545" s="140">
        <f t="shared" si="42"/>
        <v>0</v>
      </c>
      <c r="J545" s="140">
        <f t="shared" si="42"/>
        <v>0</v>
      </c>
      <c r="K545" s="140">
        <f t="shared" si="42"/>
        <v>0</v>
      </c>
      <c r="L545" s="140">
        <f t="shared" si="42"/>
        <v>66351.27</v>
      </c>
      <c r="M545" s="8"/>
      <c r="N545" s="164"/>
    </row>
    <row r="546" spans="1:14" s="3" customFormat="1" ht="12.2" customHeight="1" thickTop="1" x14ac:dyDescent="0.15">
      <c r="A546" s="75" t="s">
        <v>72</v>
      </c>
      <c r="B546" s="41">
        <v>21</v>
      </c>
      <c r="C546" s="41">
        <v>21</v>
      </c>
      <c r="D546" s="115" t="s">
        <v>432</v>
      </c>
      <c r="E546" s="41"/>
      <c r="F546" s="70">
        <f>F525+F530+F535+F540+F545</f>
        <v>688141.72</v>
      </c>
      <c r="G546" s="70">
        <f t="shared" ref="G546:L546" si="43">G525+G530+G535+G540+G545</f>
        <v>336230.8</v>
      </c>
      <c r="H546" s="70">
        <f t="shared" si="43"/>
        <v>1020282.6300000001</v>
      </c>
      <c r="I546" s="70">
        <f t="shared" si="43"/>
        <v>30646.170000000002</v>
      </c>
      <c r="J546" s="70">
        <f t="shared" si="43"/>
        <v>27956.609999999997</v>
      </c>
      <c r="K546" s="70">
        <f t="shared" si="43"/>
        <v>2350.3000000000002</v>
      </c>
      <c r="L546" s="70">
        <f t="shared" si="43"/>
        <v>2105608.23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1068581.3899999999</v>
      </c>
      <c r="G550" s="69">
        <f>L527</f>
        <v>333369.62</v>
      </c>
      <c r="H550" s="69">
        <f>L532</f>
        <v>0</v>
      </c>
      <c r="I550" s="69">
        <f>L537</f>
        <v>0</v>
      </c>
      <c r="J550" s="69">
        <f>L542</f>
        <v>66351.27</v>
      </c>
      <c r="K550" s="69">
        <f>SUM(F550:J550)</f>
        <v>1468302.2799999998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637305.94999999995</v>
      </c>
      <c r="G552" s="69">
        <f>L529</f>
        <v>0</v>
      </c>
      <c r="H552" s="69">
        <f>L534</f>
        <v>0</v>
      </c>
      <c r="I552" s="69">
        <f>L539</f>
        <v>0</v>
      </c>
      <c r="J552" s="69">
        <f>L544</f>
        <v>0</v>
      </c>
      <c r="K552" s="69">
        <f>SUM(F552:J552)</f>
        <v>637305.94999999995</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1705887.3399999999</v>
      </c>
      <c r="G553" s="70">
        <f t="shared" si="44"/>
        <v>333369.62</v>
      </c>
      <c r="H553" s="70">
        <f t="shared" si="44"/>
        <v>0</v>
      </c>
      <c r="I553" s="70">
        <f t="shared" si="44"/>
        <v>0</v>
      </c>
      <c r="J553" s="70">
        <f t="shared" si="44"/>
        <v>66351.27</v>
      </c>
      <c r="K553" s="70">
        <f t="shared" si="44"/>
        <v>2105608.2299999995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7">SUM(G568:G570)</f>
        <v>0</v>
      </c>
      <c r="H571" s="140">
        <f t="shared" si="47"/>
        <v>0</v>
      </c>
      <c r="I571" s="140">
        <f t="shared" si="47"/>
        <v>0</v>
      </c>
      <c r="J571" s="140">
        <f t="shared" si="47"/>
        <v>0</v>
      </c>
      <c r="K571" s="140">
        <f t="shared" si="47"/>
        <v>0</v>
      </c>
      <c r="L571" s="140">
        <f t="shared" si="47"/>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13465.96</v>
      </c>
      <c r="G576" s="18"/>
      <c r="H576" s="18">
        <v>1168389.8</v>
      </c>
      <c r="I576" s="69">
        <f>SUM(F576:H576)</f>
        <v>1181855.76</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9"/>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t="s">
        <v>286</v>
      </c>
      <c r="I579" s="69">
        <f t="shared" si="49"/>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11726.92</v>
      </c>
      <c r="I580" s="69">
        <f t="shared" si="49"/>
        <v>11726.92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v>58918.84</v>
      </c>
      <c r="I581" s="69">
        <f t="shared" si="49"/>
        <v>58918.84</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9"/>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14387.29</v>
      </c>
      <c r="I583" s="69">
        <f t="shared" si="49"/>
        <v>14387.29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550793.98</v>
      </c>
      <c r="I584" s="69">
        <f t="shared" si="49"/>
        <v>550793.98</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9"/>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9"/>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9"/>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13465.96</v>
      </c>
      <c r="G589" s="79">
        <f t="shared" ref="G589:I589" si="50">SUM(G576:G588)</f>
        <v>0</v>
      </c>
      <c r="H589" s="79">
        <f t="shared" si="50"/>
        <v>1804216.83</v>
      </c>
      <c r="I589" s="79">
        <f t="shared" si="50"/>
        <v>1817682.79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221175</v>
      </c>
      <c r="I592" s="18"/>
      <c r="J592" s="18"/>
      <c r="K592" s="80">
        <f t="shared" ref="K592:K598" si="51">SUM(H592:J592)</f>
        <v>221175</v>
      </c>
      <c r="L592" s="23" t="s">
        <v>288</v>
      </c>
      <c r="M592" s="8"/>
      <c r="N592" s="164"/>
    </row>
    <row r="593" spans="1:14" s="3" customFormat="1" ht="12.2" customHeight="1" x14ac:dyDescent="0.15">
      <c r="A593" s="3" t="s">
        <v>638</v>
      </c>
      <c r="B593" s="22">
        <v>23</v>
      </c>
      <c r="C593" s="22">
        <v>2</v>
      </c>
      <c r="D593" s="2" t="s">
        <v>432</v>
      </c>
      <c r="E593" s="22"/>
      <c r="F593" s="78">
        <v>2722</v>
      </c>
      <c r="G593" s="79" t="s">
        <v>97</v>
      </c>
      <c r="H593" s="18">
        <f>8421.27+57930</f>
        <v>66351.27</v>
      </c>
      <c r="I593" s="18"/>
      <c r="J593" s="18"/>
      <c r="K593" s="80">
        <f t="shared" si="51"/>
        <v>66351.27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1"/>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51"/>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7465.66</v>
      </c>
      <c r="I596" s="18"/>
      <c r="J596" s="18"/>
      <c r="K596" s="80">
        <f t="shared" si="51"/>
        <v>7465.66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294991.93</v>
      </c>
      <c r="I599" s="81">
        <f>SUM(I592:I598)</f>
        <v>0</v>
      </c>
      <c r="J599" s="81">
        <f>SUM(J592:J598)</f>
        <v>0</v>
      </c>
      <c r="K599" s="81">
        <f>SUM(K592:K598)</f>
        <v>294991.93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t="s">
        <v>286</v>
      </c>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34234.92+J291</f>
        <v>55417.27</v>
      </c>
      <c r="I605" s="18"/>
      <c r="J605" s="18"/>
      <c r="K605" s="80">
        <f>SUM(H605:J605)</f>
        <v>55417.27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55417.27</v>
      </c>
      <c r="I606" s="81">
        <f>SUM(I603:I605)</f>
        <v>0</v>
      </c>
      <c r="J606" s="81">
        <f>SUM(J603:J605)</f>
        <v>0</v>
      </c>
      <c r="K606" s="81">
        <f>SUM(K603:K605)</f>
        <v>55417.27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464444.77</v>
      </c>
      <c r="H618" s="80">
        <f>SUM(F52)</f>
        <v>464444.77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29975.8</v>
      </c>
      <c r="H619" s="80">
        <f>SUM(G52)</f>
        <v>29975.8</v>
      </c>
      <c r="I619" s="87" t="s">
        <v>872</v>
      </c>
      <c r="J619" s="80">
        <f>G619-H619</f>
        <v>0</v>
      </c>
      <c r="K619" s="80"/>
      <c r="L619" s="80"/>
      <c r="M619" s="8"/>
    </row>
    <row r="620" spans="1:14" s="3" customFormat="1" ht="12.2" customHeight="1" x14ac:dyDescent="0.15">
      <c r="A620" s="74"/>
      <c r="B620" s="22"/>
      <c r="C620" s="22"/>
      <c r="D620" s="22"/>
      <c r="E620" s="22"/>
      <c r="F620" s="87" t="s">
        <v>685</v>
      </c>
      <c r="G620" s="80">
        <f>SUM(H19)</f>
        <v>81948.800000000003</v>
      </c>
      <c r="H620" s="80">
        <f>SUM(H52)</f>
        <v>81948.800000000003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523656.99999999994</v>
      </c>
      <c r="H622" s="80">
        <f>SUM(J52)</f>
        <v>523656.99999999994</v>
      </c>
      <c r="I622" s="87" t="s">
        <v>875</v>
      </c>
      <c r="J622" s="80">
        <f>G622-H622</f>
        <v>0</v>
      </c>
      <c r="K622" s="80"/>
      <c r="L622" s="80"/>
      <c r="M622" s="8"/>
    </row>
    <row r="623" spans="1:14" s="3" customFormat="1" ht="12.2" customHeight="1" x14ac:dyDescent="0.15">
      <c r="A623" s="74"/>
      <c r="B623" s="22"/>
      <c r="C623" s="22"/>
      <c r="D623" s="22"/>
      <c r="E623" s="22"/>
      <c r="F623" s="87" t="s">
        <v>861</v>
      </c>
      <c r="G623" s="80">
        <f>F51</f>
        <v>298612.43000000005</v>
      </c>
      <c r="H623" s="80">
        <f>F477</f>
        <v>298612.4299999997</v>
      </c>
      <c r="I623" s="87" t="s">
        <v>101</v>
      </c>
      <c r="J623" s="80">
        <f t="shared" ref="J623:J656" si="53">G623-H623</f>
        <v>0</v>
      </c>
      <c r="K623" s="80"/>
      <c r="L623" s="80"/>
      <c r="M623" s="8"/>
    </row>
    <row r="624" spans="1:14" s="3" customFormat="1" ht="12.2" customHeight="1" x14ac:dyDescent="0.15">
      <c r="A624" s="74"/>
      <c r="B624" s="22"/>
      <c r="C624" s="85"/>
      <c r="D624" s="85"/>
      <c r="E624" s="85"/>
      <c r="F624" s="85" t="s">
        <v>862</v>
      </c>
      <c r="G624" s="80">
        <f>G51</f>
        <v>17108.34</v>
      </c>
      <c r="H624" s="80">
        <f>G477</f>
        <v>17108.339999999997</v>
      </c>
      <c r="I624" s="87" t="s">
        <v>102</v>
      </c>
      <c r="J624" s="80">
        <f t="shared" si="53"/>
        <v>0</v>
      </c>
      <c r="K624" s="80"/>
      <c r="L624" s="80"/>
      <c r="M624" s="8"/>
    </row>
    <row r="625" spans="1:13" s="3" customFormat="1" ht="12.2" customHeight="1" x14ac:dyDescent="0.15">
      <c r="A625" s="74"/>
      <c r="B625" s="22"/>
      <c r="C625" s="22"/>
      <c r="D625" s="22"/>
      <c r="E625" s="22"/>
      <c r="F625" s="86" t="s">
        <v>863</v>
      </c>
      <c r="G625" s="80">
        <f>H51</f>
        <v>38213.420000000006</v>
      </c>
      <c r="H625" s="80">
        <f>H477</f>
        <v>38213.419999999984</v>
      </c>
      <c r="I625" s="87" t="s">
        <v>103</v>
      </c>
      <c r="J625" s="80">
        <f t="shared" si="53"/>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865</v>
      </c>
      <c r="G627" s="80">
        <f>J51</f>
        <v>523656.99999999994</v>
      </c>
      <c r="H627" s="80">
        <f>J477</f>
        <v>523657</v>
      </c>
      <c r="I627" s="87" t="s">
        <v>105</v>
      </c>
      <c r="J627" s="80">
        <f t="shared" si="53"/>
        <v>0</v>
      </c>
      <c r="K627" s="67"/>
      <c r="L627" s="69"/>
      <c r="M627" s="8"/>
    </row>
    <row r="628" spans="1:13" s="3" customFormat="1" ht="12.2" customHeight="1" x14ac:dyDescent="0.15">
      <c r="A628" s="21"/>
      <c r="B628" s="22"/>
      <c r="C628" s="22"/>
      <c r="D628" s="22"/>
      <c r="E628" s="22"/>
      <c r="F628" s="86" t="s">
        <v>658</v>
      </c>
      <c r="G628" s="80">
        <f>F194</f>
        <v>7340991.7399999993</v>
      </c>
      <c r="H628" s="80">
        <f>SUM(F469)</f>
        <v>7340991.7399999993</v>
      </c>
      <c r="I628" s="87" t="s">
        <v>106</v>
      </c>
      <c r="J628" s="80">
        <f>G628-H628</f>
        <v>0</v>
      </c>
      <c r="K628" s="67"/>
      <c r="L628" s="69"/>
      <c r="M628" s="8"/>
    </row>
    <row r="629" spans="1:13" s="3" customFormat="1" ht="12.2" customHeight="1" x14ac:dyDescent="0.15">
      <c r="A629" s="21"/>
      <c r="B629" s="22"/>
      <c r="C629" s="22"/>
      <c r="D629" s="22"/>
      <c r="E629" s="22"/>
      <c r="F629" s="86" t="s">
        <v>659</v>
      </c>
      <c r="G629" s="80">
        <f>G194</f>
        <v>63103.19</v>
      </c>
      <c r="H629" s="80">
        <f>SUM(G469)</f>
        <v>63103.19</v>
      </c>
      <c r="I629" s="87" t="s">
        <v>107</v>
      </c>
      <c r="J629" s="80">
        <f>G629-H629</f>
        <v>0</v>
      </c>
      <c r="K629" s="67"/>
      <c r="L629" s="69"/>
      <c r="M629" s="8"/>
    </row>
    <row r="630" spans="1:13" s="3" customFormat="1" ht="12.2" customHeight="1" x14ac:dyDescent="0.15">
      <c r="A630" s="21"/>
      <c r="B630" s="22"/>
      <c r="C630" s="22"/>
      <c r="D630" s="22"/>
      <c r="E630" s="22"/>
      <c r="F630" s="86" t="s">
        <v>660</v>
      </c>
      <c r="G630" s="80">
        <f>H194</f>
        <v>292737.94</v>
      </c>
      <c r="H630" s="80">
        <f>SUM(H469)</f>
        <v>292737.94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46218.15</v>
      </c>
      <c r="H632" s="80">
        <f>SUM(J469)</f>
        <v>46218.149999999994</v>
      </c>
      <c r="I632" s="87" t="s">
        <v>110</v>
      </c>
      <c r="J632" s="80">
        <f>G632-H632</f>
        <v>0</v>
      </c>
      <c r="K632" s="67"/>
      <c r="L632" s="69"/>
      <c r="M632" s="8"/>
    </row>
    <row r="633" spans="1:13" s="3" customFormat="1" ht="12.2" customHeight="1" x14ac:dyDescent="0.15">
      <c r="A633" s="21"/>
      <c r="B633" s="22"/>
      <c r="C633" s="22"/>
      <c r="D633" s="22"/>
      <c r="E633" s="22"/>
      <c r="F633" s="86" t="s">
        <v>394</v>
      </c>
      <c r="G633" s="80">
        <f>SUM(L272)</f>
        <v>7513708.3099999996</v>
      </c>
      <c r="H633" s="80">
        <f>SUM(F473)</f>
        <v>7513708.3099999996</v>
      </c>
      <c r="I633" s="87" t="s">
        <v>111</v>
      </c>
      <c r="J633" s="80">
        <f t="shared" si="53"/>
        <v>0</v>
      </c>
      <c r="K633" s="67"/>
      <c r="L633" s="69"/>
      <c r="M633" s="8"/>
    </row>
    <row r="634" spans="1:13" s="3" customFormat="1" ht="12.2" customHeight="1" x14ac:dyDescent="0.15">
      <c r="A634" s="21"/>
      <c r="B634" s="22"/>
      <c r="C634" s="22"/>
      <c r="D634" s="22"/>
      <c r="E634" s="22"/>
      <c r="F634" s="86" t="s">
        <v>395</v>
      </c>
      <c r="G634" s="80">
        <f>SUM(L353)</f>
        <v>293112.37</v>
      </c>
      <c r="H634" s="80">
        <f>SUM(H473)</f>
        <v>293112.37</v>
      </c>
      <c r="I634" s="87" t="s">
        <v>112</v>
      </c>
      <c r="J634" s="80">
        <f>G634-H634</f>
        <v>0</v>
      </c>
      <c r="K634" s="67"/>
      <c r="L634" s="69"/>
      <c r="M634" s="8"/>
    </row>
    <row r="635" spans="1:13" s="124" customFormat="1" ht="12.2" customHeight="1" x14ac:dyDescent="0.15">
      <c r="A635" s="21"/>
      <c r="B635" s="22"/>
      <c r="C635" s="22"/>
      <c r="D635" s="22"/>
      <c r="E635" s="22"/>
      <c r="F635" s="99" t="s">
        <v>247</v>
      </c>
      <c r="G635" s="80">
        <f>I363</f>
        <v>809.54</v>
      </c>
      <c r="H635" s="80">
        <f>I370</f>
        <v>809.54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63900.850000000006</v>
      </c>
      <c r="H636" s="80">
        <f>SUM(G473)</f>
        <v>63900.850000000006</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46218.149999999994</v>
      </c>
      <c r="H638" s="108">
        <f>SUM(J469)</f>
        <v>46218.149999999994</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32826.61</v>
      </c>
      <c r="H640" s="80">
        <f>SUM(F462)</f>
        <v>32826.61</v>
      </c>
      <c r="I640" s="87" t="s">
        <v>837</v>
      </c>
      <c r="J640" s="80">
        <f t="shared" si="53"/>
        <v>0</v>
      </c>
      <c r="K640" s="67"/>
      <c r="L640" s="69"/>
      <c r="M640" s="8"/>
    </row>
    <row r="641" spans="1:13" s="3" customFormat="1" ht="12.2" customHeight="1" x14ac:dyDescent="0.15">
      <c r="A641" s="21"/>
      <c r="B641" s="22"/>
      <c r="C641" s="22"/>
      <c r="D641" s="22"/>
      <c r="E641" s="22"/>
      <c r="F641" s="86" t="s">
        <v>119</v>
      </c>
      <c r="G641" s="80">
        <f>SUM(G447)</f>
        <v>490830.38999999996</v>
      </c>
      <c r="H641" s="80">
        <f>SUM(G462)</f>
        <v>490830.38999999996</v>
      </c>
      <c r="I641" s="87" t="s">
        <v>838</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3"/>
        <v>0</v>
      </c>
      <c r="K642" s="67"/>
      <c r="L642" s="69"/>
      <c r="M642" s="8"/>
    </row>
    <row r="643" spans="1:13" s="3" customFormat="1" ht="12.2" customHeight="1" x14ac:dyDescent="0.15">
      <c r="A643" s="21"/>
      <c r="B643" s="22"/>
      <c r="C643" s="22"/>
      <c r="D643" s="22"/>
      <c r="E643" s="22"/>
      <c r="F643" s="86" t="s">
        <v>121</v>
      </c>
      <c r="G643" s="80">
        <f>SUM(I447)</f>
        <v>523656.99999999994</v>
      </c>
      <c r="H643" s="80">
        <f>SUM(I462)</f>
        <v>523656.99999999994</v>
      </c>
      <c r="I643" s="87" t="s">
        <v>840</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16218.15</v>
      </c>
      <c r="H645" s="80">
        <f>H409</f>
        <v>16218.15</v>
      </c>
      <c r="I645" s="87" t="s">
        <v>480</v>
      </c>
      <c r="J645" s="80">
        <f t="shared" si="53"/>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3"/>
        <v>0</v>
      </c>
      <c r="K646" s="67"/>
      <c r="L646" s="69"/>
      <c r="M646" s="8"/>
    </row>
    <row r="647" spans="1:13" s="3" customFormat="1" ht="12.2" customHeight="1" x14ac:dyDescent="0.15">
      <c r="A647" s="21"/>
      <c r="B647" s="22"/>
      <c r="C647" s="22"/>
      <c r="D647" s="22"/>
      <c r="E647" s="22"/>
      <c r="F647" s="86" t="s">
        <v>662</v>
      </c>
      <c r="G647" s="80">
        <f>J194</f>
        <v>46218.15</v>
      </c>
      <c r="H647" s="80">
        <f>L409</f>
        <v>46218.149999999994</v>
      </c>
      <c r="I647" s="87" t="s">
        <v>477</v>
      </c>
      <c r="J647" s="80">
        <f t="shared" si="53"/>
        <v>0</v>
      </c>
      <c r="K647" s="67"/>
      <c r="L647" s="69"/>
      <c r="M647" s="8"/>
    </row>
    <row r="648" spans="1:13" s="3" customFormat="1" ht="12.2" customHeight="1" x14ac:dyDescent="0.15">
      <c r="A648" s="21"/>
      <c r="B648" s="22"/>
      <c r="C648" s="22"/>
      <c r="D648" s="22"/>
      <c r="E648" s="22"/>
      <c r="F648" s="86" t="s">
        <v>51</v>
      </c>
      <c r="G648" s="80">
        <f>K599</f>
        <v>294991.93</v>
      </c>
      <c r="H648" s="80">
        <f>L209+L227+L245</f>
        <v>294991.93</v>
      </c>
      <c r="I648" s="87" t="s">
        <v>396</v>
      </c>
      <c r="J648" s="80">
        <f t="shared" si="53"/>
        <v>0</v>
      </c>
      <c r="K648" s="67"/>
      <c r="L648" s="69"/>
      <c r="M648" s="8"/>
    </row>
    <row r="649" spans="1:13" s="3" customFormat="1" ht="12.2" customHeight="1" x14ac:dyDescent="0.15">
      <c r="A649" s="21"/>
      <c r="B649" s="22"/>
      <c r="C649" s="22"/>
      <c r="D649" s="22"/>
      <c r="E649" s="22"/>
      <c r="F649" s="86" t="s">
        <v>52</v>
      </c>
      <c r="G649" s="80">
        <f>K606</f>
        <v>55417.27</v>
      </c>
      <c r="H649" s="80">
        <f>(J258+J339)-(J256+J337)</f>
        <v>55417.27</v>
      </c>
      <c r="I649" s="87" t="s">
        <v>699</v>
      </c>
      <c r="J649" s="80">
        <f t="shared" si="53"/>
        <v>0</v>
      </c>
      <c r="K649" s="67"/>
      <c r="L649" s="69"/>
      <c r="M649" s="8"/>
    </row>
    <row r="650" spans="1:13" s="3" customFormat="1" ht="12.2" customHeight="1" x14ac:dyDescent="0.15">
      <c r="A650" s="21"/>
      <c r="B650" s="22"/>
      <c r="C650" s="22"/>
      <c r="D650" s="22"/>
      <c r="E650" s="22"/>
      <c r="F650" s="86" t="s">
        <v>387</v>
      </c>
      <c r="G650" s="80">
        <f>L209</f>
        <v>294991.93</v>
      </c>
      <c r="H650" s="80">
        <f>H599</f>
        <v>294991.93</v>
      </c>
      <c r="I650" s="87" t="s">
        <v>388</v>
      </c>
      <c r="J650" s="80">
        <f t="shared" si="53"/>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3"/>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3"/>
        <v>0</v>
      </c>
      <c r="K652" s="67"/>
      <c r="L652" s="69"/>
      <c r="M652" s="8"/>
    </row>
    <row r="653" spans="1:13" s="3" customFormat="1" ht="12.2" customHeight="1" x14ac:dyDescent="0.15">
      <c r="A653" s="21"/>
      <c r="B653" s="22"/>
      <c r="C653" s="22"/>
      <c r="D653" s="22"/>
      <c r="E653" s="22"/>
      <c r="F653" s="86" t="s">
        <v>665</v>
      </c>
      <c r="G653" s="80">
        <f>G180+G182</f>
        <v>16179.97</v>
      </c>
      <c r="H653" s="80">
        <f>K264+K346</f>
        <v>16179.97</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5963009.4799999995</v>
      </c>
      <c r="G661" s="13">
        <f>(L230+L310+L360)</f>
        <v>0</v>
      </c>
      <c r="H661" s="13">
        <f>(L248+L329+L361)</f>
        <v>1805695.95</v>
      </c>
      <c r="I661" s="13">
        <f>SUM(F661:H661)</f>
        <v>7768705.4299999997</v>
      </c>
      <c r="J661" s="13"/>
      <c r="K661" s="13"/>
      <c r="L661" s="13"/>
      <c r="M661" s="9"/>
    </row>
    <row r="662" spans="1:13" s="3" customFormat="1" ht="12.2" customHeight="1" x14ac:dyDescent="0.2">
      <c r="A662" s="1" t="s">
        <v>127</v>
      </c>
      <c r="F662" s="13">
        <f>(L359/IF(SUM(L359:L361)=0,1,SUM(L359:L361))*(SUM(G97:G110)))</f>
        <v>36027.300000000003</v>
      </c>
      <c r="G662" s="13">
        <f>(L360/IF(SUM(L359:L361)=0,1,SUM(L359:L361))*(SUM(G97:G110)))</f>
        <v>0</v>
      </c>
      <c r="H662" s="13">
        <f>(L361/IF(SUM(L359:L361)=0,1,SUM(L359:L361))*(SUM(G97:G110)))</f>
        <v>0</v>
      </c>
      <c r="I662" s="13">
        <f>SUM(F662:H662)</f>
        <v>36027.300000000003</v>
      </c>
      <c r="J662"/>
      <c r="K662" s="13"/>
      <c r="L662" s="13"/>
      <c r="M662" s="8"/>
    </row>
    <row r="663" spans="1:13" s="3" customFormat="1" ht="12.2" customHeight="1" x14ac:dyDescent="0.2">
      <c r="A663" s="1" t="s">
        <v>128</v>
      </c>
      <c r="F663" s="13">
        <f>(L209+L288)-(J209+J288)</f>
        <v>294991.93</v>
      </c>
      <c r="G663" s="13">
        <f>(L227+L307)-(J227+J307)</f>
        <v>0</v>
      </c>
      <c r="H663" s="13">
        <f>(L245+L326)-(J245+J326)</f>
        <v>0</v>
      </c>
      <c r="I663" s="13">
        <f>SUM(F663:H663)</f>
        <v>294991.93</v>
      </c>
      <c r="J663"/>
      <c r="K663" s="13"/>
      <c r="L663" s="13"/>
      <c r="M663" s="9"/>
    </row>
    <row r="664" spans="1:13" s="3" customFormat="1" ht="12.2" customHeight="1" x14ac:dyDescent="0.15">
      <c r="A664" s="141" t="s">
        <v>129</v>
      </c>
      <c r="B664" s="124"/>
      <c r="C664" s="124"/>
      <c r="D664" s="124"/>
      <c r="E664" s="124"/>
      <c r="F664" s="142">
        <f>SUM(F576:F588)+SUM(H603:H605)+SUM(L612)</f>
        <v>68883.23</v>
      </c>
      <c r="G664" s="142">
        <f>SUM(G576:G588)+SUM(I603:I605)+L613</f>
        <v>0</v>
      </c>
      <c r="H664" s="142">
        <f>SUM(H576:H588)+SUM(J603:J605)+L614</f>
        <v>1804216.83</v>
      </c>
      <c r="I664" s="13">
        <f>SUM(F664:H664)</f>
        <v>1873100.06</v>
      </c>
      <c r="J664" s="13"/>
      <c r="K664" s="13"/>
      <c r="L664" s="13"/>
      <c r="M664" s="9"/>
    </row>
    <row r="665" spans="1:13" s="3" customFormat="1" ht="12.2" customHeight="1" x14ac:dyDescent="0.15">
      <c r="A665" s="1" t="s">
        <v>130</v>
      </c>
      <c r="F665" s="13">
        <f>F661-SUM(F662:F664)</f>
        <v>5563107.0199999996</v>
      </c>
      <c r="G665" s="13">
        <f>G661-SUM(G662:G664)</f>
        <v>0</v>
      </c>
      <c r="H665" s="13">
        <f>H661-SUM(H662:H664)</f>
        <v>1479.1199999998789</v>
      </c>
      <c r="I665" s="13">
        <f>I661-SUM(I662:I664)</f>
        <v>5564586.1399999997</v>
      </c>
      <c r="J665" s="13"/>
      <c r="K665" s="13"/>
      <c r="L665" s="13"/>
      <c r="M665" s="8"/>
    </row>
    <row r="666" spans="1:13" s="3" customFormat="1" ht="12.2" customHeight="1" x14ac:dyDescent="0.2">
      <c r="A666" s="1" t="s">
        <v>131</v>
      </c>
      <c r="F666" s="182">
        <v>198.29</v>
      </c>
      <c r="G666" s="183"/>
      <c r="H666" s="183"/>
      <c r="I666" s="13">
        <f>SUM(F666:H666)</f>
        <v>198.29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28055.41</v>
      </c>
      <c r="G668" s="13" t="e">
        <f>ROUND(G665/G666,2)</f>
        <v>#DIV/0!</v>
      </c>
      <c r="H668" s="13" t="e">
        <f>ROUND(H665/H666,2)</f>
        <v>#DIV/0!</v>
      </c>
      <c r="I668" s="13">
        <f>ROUND(I665/I666,2)</f>
        <v>28062.87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f t="shared" si="54"/>
        <v>-1479.1199999998789</v>
      </c>
      <c r="I670" s="13">
        <f>SUM(F670:H670)</f>
        <v>-1479.1199999998789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28055.41</v>
      </c>
      <c r="G673" s="13" t="e">
        <f>ROUND((G665+G670)/(G666+G671),2)</f>
        <v>#DIV/0!</v>
      </c>
      <c r="H673" s="13" t="e">
        <f>ROUND((H665+H670)/(H666+H671),2)</f>
        <v>#DIV/0!</v>
      </c>
      <c r="I673" s="13">
        <f>ROUND((I665+I670)/(I666+I671),2)</f>
        <v>28055.41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1" zoomScaleNormal="100" workbookViewId="0">
      <selection activeCell="F17" sqref="F1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27089.32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19000.48</f>
        <v>19000.48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8088.84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Plainfield</v>
      </c>
      <c r="C5" s="323"/>
      <c r="D5" s="323"/>
      <c r="E5" s="323"/>
      <c r="F5" s="323"/>
    </row>
    <row r="8" spans="1:9" ht="18" x14ac:dyDescent="0.25">
      <c r="A8" s="239" t="s">
        <v>1548</v>
      </c>
      <c r="F8" s="246" t="s">
        <v>1566</v>
      </c>
    </row>
    <row r="9" spans="1:9" ht="15" x14ac:dyDescent="0.2">
      <c r="A9" s="237" t="s">
        <v>1549</v>
      </c>
      <c r="B9" s="240">
        <f>'DOE25'!G97</f>
        <v>36027.300000000003</v>
      </c>
      <c r="F9" s="237" t="s">
        <v>1562</v>
      </c>
    </row>
    <row r="10" spans="1:9" ht="15" x14ac:dyDescent="0.2">
      <c r="A10" s="237" t="s">
        <v>1550</v>
      </c>
      <c r="B10" s="240">
        <f>'DOE25'!G112-'DOE25'!G97</f>
        <v>0</v>
      </c>
      <c r="F10" s="237" t="s">
        <v>1563</v>
      </c>
    </row>
    <row r="11" spans="1:9" ht="15" x14ac:dyDescent="0.2">
      <c r="A11" s="237" t="s">
        <v>1551</v>
      </c>
      <c r="B11" s="240">
        <f>'DOE25'!G140</f>
        <v>767.21</v>
      </c>
      <c r="F11" s="237" t="s">
        <v>1564</v>
      </c>
    </row>
    <row r="12" spans="1:9" ht="15" x14ac:dyDescent="0.2">
      <c r="A12" s="237" t="s">
        <v>1552</v>
      </c>
      <c r="B12" s="240">
        <f>'DOE25'!G170</f>
        <v>10128.709999999999</v>
      </c>
      <c r="F12" s="237" t="s">
        <v>1565</v>
      </c>
    </row>
    <row r="13" spans="1:9" ht="15" x14ac:dyDescent="0.2">
      <c r="A13" s="237" t="s">
        <v>1553</v>
      </c>
      <c r="B13" s="240">
        <f>'DOE25'!G193-'DOE25'!G180</f>
        <v>0</v>
      </c>
      <c r="F13" s="237" t="s">
        <v>1575</v>
      </c>
    </row>
    <row r="14" spans="1:9" ht="18" x14ac:dyDescent="0.25">
      <c r="A14" s="239" t="s">
        <v>732</v>
      </c>
      <c r="B14" s="241">
        <f>SUM(B9:B13)</f>
        <v>46923.22</v>
      </c>
    </row>
    <row r="16" spans="1:9" ht="18" x14ac:dyDescent="0.25">
      <c r="A16" s="239" t="s">
        <v>783</v>
      </c>
      <c r="F16" s="246" t="s">
        <v>1567</v>
      </c>
    </row>
    <row r="17" spans="1:6" ht="15" x14ac:dyDescent="0.2">
      <c r="A17" s="237" t="s">
        <v>1554</v>
      </c>
      <c r="B17" s="240">
        <f>'DOE25'!L363-'DOE25'!L362</f>
        <v>63900.850000000006</v>
      </c>
      <c r="F17" s="237" t="s">
        <v>1568</v>
      </c>
    </row>
    <row r="18" spans="1:6" ht="15" x14ac:dyDescent="0.2">
      <c r="A18" s="237" t="s">
        <v>1555</v>
      </c>
      <c r="B18" s="250"/>
      <c r="F18" s="246" t="s">
        <v>1592</v>
      </c>
    </row>
    <row r="19" spans="1:6" ht="18" x14ac:dyDescent="0.25">
      <c r="A19" s="239" t="s">
        <v>725</v>
      </c>
      <c r="B19" s="241">
        <f>SUM(B17:B18)</f>
        <v>63900.850000000006</v>
      </c>
    </row>
    <row r="21" spans="1:6" ht="18.75" thickBot="1" x14ac:dyDescent="0.3">
      <c r="A21" s="239" t="s">
        <v>1556</v>
      </c>
    </row>
    <row r="22" spans="1:6" ht="18.75" thickTop="1" x14ac:dyDescent="0.25">
      <c r="A22" s="239" t="s">
        <v>1557</v>
      </c>
      <c r="B22" s="245">
        <f>B14-B19</f>
        <v>-16977.630000000005</v>
      </c>
      <c r="F22" s="237" t="s">
        <v>1569</v>
      </c>
    </row>
    <row r="26" spans="1:6" ht="18" x14ac:dyDescent="0.25">
      <c r="A26" s="239" t="s">
        <v>186</v>
      </c>
    </row>
    <row r="27" spans="1:6" ht="15" x14ac:dyDescent="0.2">
      <c r="A27" s="237" t="s">
        <v>1558</v>
      </c>
      <c r="B27" s="240">
        <f>'DOE25'!G180</f>
        <v>16179.97</v>
      </c>
      <c r="F27" s="237" t="s">
        <v>1570</v>
      </c>
    </row>
    <row r="28" spans="1:6" ht="15" x14ac:dyDescent="0.2">
      <c r="A28" s="237" t="s">
        <v>1560</v>
      </c>
      <c r="B28" s="240">
        <f>'DOE25'!L362</f>
        <v>0</v>
      </c>
      <c r="F28" s="237" t="s">
        <v>1571</v>
      </c>
    </row>
    <row r="31" spans="1:6" ht="15" x14ac:dyDescent="0.2">
      <c r="A31" s="237" t="s">
        <v>1789</v>
      </c>
      <c r="B31" s="240">
        <f>'DOE25'!G466</f>
        <v>23579.34</v>
      </c>
      <c r="F31" s="237" t="s">
        <v>1572</v>
      </c>
    </row>
    <row r="33" spans="1:6" ht="15" x14ac:dyDescent="0.2">
      <c r="A33" s="237" t="s">
        <v>1790</v>
      </c>
      <c r="B33" s="240">
        <f>'DOE25'!G477</f>
        <v>17108.339999999997</v>
      </c>
      <c r="F33" s="237" t="s">
        <v>1573</v>
      </c>
    </row>
    <row r="36" spans="1:6" ht="15" x14ac:dyDescent="0.2">
      <c r="A36" s="237" t="s">
        <v>1559</v>
      </c>
      <c r="B36" s="251">
        <v>3078.56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9" zoomScale="143" zoomScaleNormal="100"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Plainfield</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1388394.97</v>
      </c>
      <c r="C9" s="166">
        <f>'DOE25'!G198+'DOE25'!G216+'DOE25'!G234+'DOE25'!G277+'DOE25'!G296+'DOE25'!G315</f>
        <v>766469.92999999993</v>
      </c>
    </row>
    <row r="10" spans="1:3" x14ac:dyDescent="0.2">
      <c r="A10" t="s">
        <v>772</v>
      </c>
      <c r="B10" s="176">
        <f>1260356.13+9786.08</f>
        <v>1270142.21</v>
      </c>
      <c r="C10" s="176">
        <v>702831.6287107066</v>
      </c>
    </row>
    <row r="11" spans="1:3" x14ac:dyDescent="0.2">
      <c r="A11" t="s">
        <v>773</v>
      </c>
      <c r="B11" s="176">
        <f>46442.24+27449.28</f>
        <v>73891.51999999999</v>
      </c>
      <c r="C11" s="176">
        <v>39091.063731676441</v>
      </c>
    </row>
    <row r="12" spans="1:3" x14ac:dyDescent="0.2">
      <c r="A12" t="s">
        <v>774</v>
      </c>
      <c r="B12" s="176">
        <f>43916.16+445.08</f>
        <v>44361.240000000005</v>
      </c>
      <c r="C12" s="176">
        <v>24547.237557616914</v>
      </c>
    </row>
    <row r="13" spans="1:3" x14ac:dyDescent="0.2">
      <c r="A13" t="str">
        <f>IF(B9=B13,IF(C9=C13,"Check Total OK","Check Total Error"),"Check Total Error")</f>
        <v>Check Total OK</v>
      </c>
      <c r="B13" s="168">
        <f>SUM(B10:B12)</f>
        <v>1388394.97</v>
      </c>
      <c r="C13" s="168">
        <f>SUM(C10:C12)</f>
        <v>766469.92999999993</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531750.15</v>
      </c>
      <c r="C18" s="166">
        <f>'DOE25'!G199+'DOE25'!G217+'DOE25'!G235+'DOE25'!G278+'DOE25'!G297+'DOE25'!G316</f>
        <v>256951.97999999998</v>
      </c>
    </row>
    <row r="19" spans="1:3" x14ac:dyDescent="0.2">
      <c r="A19" t="s">
        <v>772</v>
      </c>
      <c r="B19" s="176">
        <v>189906.5</v>
      </c>
      <c r="C19" s="176">
        <v>91766.501974414103</v>
      </c>
    </row>
    <row r="20" spans="1:3" x14ac:dyDescent="0.2">
      <c r="A20" t="s">
        <v>773</v>
      </c>
      <c r="B20" s="176">
        <v>259560.74</v>
      </c>
      <c r="C20" s="176">
        <v>125424.78093003864</v>
      </c>
    </row>
    <row r="21" spans="1:3" x14ac:dyDescent="0.2">
      <c r="A21" t="s">
        <v>774</v>
      </c>
      <c r="B21" s="176">
        <f>29393.49+52889.42</f>
        <v>82282.91</v>
      </c>
      <c r="C21" s="176">
        <v>39760.697095547221</v>
      </c>
    </row>
    <row r="22" spans="1:3" x14ac:dyDescent="0.2">
      <c r="A22" t="str">
        <f>IF(B18=B22,IF(C18=C22,"Check Total OK","Check Total Error"),"Check Total Error")</f>
        <v>Check Total OK</v>
      </c>
      <c r="B22" s="168">
        <f>SUM(B19:B21)</f>
        <v>531750.15</v>
      </c>
      <c r="C22" s="168">
        <f>SUM(C19:C21)</f>
        <v>256951.97999999998</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28865</v>
      </c>
      <c r="C36" s="172">
        <f>'DOE25'!G201+'DOE25'!G219+'DOE25'!G237+'DOE25'!G280+'DOE25'!G299+'DOE25'!G318</f>
        <v>4562.53</v>
      </c>
    </row>
    <row r="37" spans="1:3" x14ac:dyDescent="0.2">
      <c r="A37" t="s">
        <v>772</v>
      </c>
      <c r="B37" s="176">
        <f>+B36</f>
        <v>28865</v>
      </c>
      <c r="C37" s="176">
        <f>+C36</f>
        <v>4562.53</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28865</v>
      </c>
      <c r="C40" s="168">
        <f>SUM(C37:C39)</f>
        <v>4562.53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Plainfield</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5083446.55</v>
      </c>
      <c r="D5" s="19">
        <f>SUM('DOE25'!L198:L201)+SUM('DOE25'!L216:L219)+SUM('DOE25'!L234:L237)-F5-G5-H5</f>
        <v>5054026.7299999995</v>
      </c>
      <c r="E5" s="179"/>
      <c r="F5" s="180"/>
      <c r="G5" s="19">
        <f>SUM('DOE25'!J198:J201)+SUM('DOE25'!J216:J219)+SUM('DOE25'!J234:J237)</f>
        <v>7049.32</v>
      </c>
      <c r="H5" s="19">
        <f>SUM('DOE25'!K198:K201)+SUM('DOE25'!K216:K219)+SUM('DOE25'!K234:K237)</f>
        <v>22370.5</v>
      </c>
      <c r="I5" s="191"/>
    </row>
    <row r="6" spans="1:9" x14ac:dyDescent="0.2">
      <c r="A6" s="31">
        <v>2100</v>
      </c>
      <c r="B6" t="s">
        <v>793</v>
      </c>
      <c r="C6" s="205">
        <f t="shared" si="0"/>
        <v>409834.39</v>
      </c>
      <c r="D6" s="19">
        <f>'DOE25'!L203+'DOE25'!L221+'DOE25'!L239-F6-G6-H6</f>
        <v>387292.25</v>
      </c>
      <c r="E6" s="179"/>
      <c r="F6" s="180"/>
      <c r="G6" s="19">
        <f>'DOE25'!J203+'DOE25'!J221+'DOE25'!J239</f>
        <v>20056.84</v>
      </c>
      <c r="H6" s="19">
        <f>'DOE25'!K203+'DOE25'!K221+'DOE25'!K239</f>
        <v>2485.3000000000002</v>
      </c>
      <c r="I6" s="191"/>
    </row>
    <row r="7" spans="1:9" x14ac:dyDescent="0.2">
      <c r="A7" s="31">
        <v>2200</v>
      </c>
      <c r="B7" t="s">
        <v>817</v>
      </c>
      <c r="C7" s="205">
        <f t="shared" si="0"/>
        <v>195802.44999999995</v>
      </c>
      <c r="D7" s="19">
        <f>'DOE25'!L204+'DOE25'!L222+'DOE25'!L240-F7-G7-H7</f>
        <v>195802.44999999995</v>
      </c>
      <c r="E7" s="179"/>
      <c r="F7" s="180"/>
      <c r="G7" s="19">
        <f>'DOE25'!J204+'DOE25'!J222+'DOE25'!J240</f>
        <v>0</v>
      </c>
      <c r="H7" s="19">
        <f>'DOE25'!K204+'DOE25'!K222+'DOE25'!K240</f>
        <v>0</v>
      </c>
      <c r="I7" s="191"/>
    </row>
    <row r="8" spans="1:9" x14ac:dyDescent="0.2">
      <c r="A8" s="31">
        <v>2300</v>
      </c>
      <c r="B8" t="s">
        <v>794</v>
      </c>
      <c r="C8" s="205">
        <f t="shared" si="0"/>
        <v>655557.09</v>
      </c>
      <c r="D8" s="179"/>
      <c r="E8" s="19">
        <f>'DOE25'!L205+'DOE25'!L223+'DOE25'!L241-F8-G8-H8-D9-D11</f>
        <v>643462.42999999993</v>
      </c>
      <c r="F8" s="180"/>
      <c r="G8" s="19">
        <f>'DOE25'!J205+'DOE25'!J223+'DOE25'!J241</f>
        <v>825</v>
      </c>
      <c r="H8" s="19">
        <f>'DOE25'!K205+'DOE25'!K223+'DOE25'!K241</f>
        <v>11269.66</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386444.61999999994</v>
      </c>
      <c r="D12" s="19">
        <f>'DOE25'!L206+'DOE25'!L224+'DOE25'!L242-F12-G12-H12</f>
        <v>382463.88999999996</v>
      </c>
      <c r="E12" s="179"/>
      <c r="F12" s="180"/>
      <c r="G12" s="19">
        <f>'DOE25'!J206+'DOE25'!J224+'DOE25'!J242</f>
        <v>881.73</v>
      </c>
      <c r="H12" s="19">
        <f>'DOE25'!K206+'DOE25'!K224+'DOE25'!K242</f>
        <v>3099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385615.18000000005</v>
      </c>
      <c r="D14" s="19">
        <f>'DOE25'!L208+'DOE25'!L226+'DOE25'!L244-F14-G14-H14</f>
        <v>379711.95</v>
      </c>
      <c r="E14" s="179"/>
      <c r="F14" s="180"/>
      <c r="G14" s="19">
        <f>'DOE25'!J208+'DOE25'!J226+'DOE25'!J244</f>
        <v>5422.03</v>
      </c>
      <c r="H14" s="19">
        <f>'DOE25'!K208+'DOE25'!K226+'DOE25'!K244</f>
        <v>481.2</v>
      </c>
      <c r="I14" s="191"/>
    </row>
    <row r="15" spans="1:9" x14ac:dyDescent="0.2">
      <c r="A15" s="31">
        <v>2700</v>
      </c>
      <c r="B15" t="s">
        <v>796</v>
      </c>
      <c r="C15" s="205">
        <f t="shared" si="0"/>
        <v>294991.93</v>
      </c>
      <c r="D15" s="19">
        <f>'DOE25'!L209+'DOE25'!L227+'DOE25'!L245-F15-G15-H15</f>
        <v>294991.93</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55836.13</v>
      </c>
      <c r="D22" s="179"/>
      <c r="E22" s="179"/>
      <c r="F22" s="179"/>
      <c r="G22" s="19">
        <f>'DOE25'!L256+'DOE25'!L337</f>
        <v>55836.13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3542.8500000000058</v>
      </c>
      <c r="D29" s="211">
        <f>'DOE25'!L359+'DOE25'!L360+'DOE25'!L361-'DOE25'!I368-F29-G29-H29-F39</f>
        <v>3500.8500000000058</v>
      </c>
      <c r="E29" s="179"/>
      <c r="F29" s="179"/>
      <c r="G29" s="19">
        <f>'DOE25'!J359+'DOE25'!J360+'DOE25'!J361</f>
        <v>0</v>
      </c>
      <c r="H29" s="19">
        <f>'DOE25'!K359+'DOE25'!K360+'DOE25'!K361</f>
        <v>42</v>
      </c>
      <c r="I29" s="191"/>
    </row>
    <row r="30" spans="1:9" x14ac:dyDescent="0.2">
      <c r="A30" s="31"/>
      <c r="C30" s="206"/>
      <c r="D30" s="19"/>
      <c r="F30" s="200"/>
      <c r="G30" s="19"/>
      <c r="H30" s="19"/>
      <c r="I30" s="191"/>
    </row>
    <row r="31" spans="1:9" x14ac:dyDescent="0.2">
      <c r="A31" s="31" t="s">
        <v>814</v>
      </c>
      <c r="B31" t="s">
        <v>813</v>
      </c>
      <c r="C31" s="205">
        <f>SUM(D31:I31)</f>
        <v>293112.37</v>
      </c>
      <c r="D31" s="19">
        <f>'DOE25'!L291+'DOE25'!L310+'DOE25'!L329+'DOE25'!L334+'DOE25'!L335+'DOE25'!L336-F31-G31-H31</f>
        <v>271855.02</v>
      </c>
      <c r="E31" s="179"/>
      <c r="F31" s="180"/>
      <c r="G31" s="19">
        <f>'DOE25'!J291+'DOE25'!J310+'DOE25'!J329+'DOE25'!J334+'DOE25'!J335+'DOE25'!J336</f>
        <v>21182.35</v>
      </c>
      <c r="H31" s="19">
        <f>'DOE25'!K291+'DOE25'!K310+'DOE25'!K329+'DOE25'!K334+'DOE25'!K335+'DOE25'!K336</f>
        <v>75</v>
      </c>
      <c r="I31" s="191"/>
    </row>
    <row r="32" spans="1:9" ht="12" thickBot="1" x14ac:dyDescent="0.25">
      <c r="C32" s="206"/>
      <c r="G32" s="187"/>
      <c r="H32" s="187"/>
      <c r="I32" s="193"/>
    </row>
    <row r="33" spans="1:9" ht="12" thickTop="1" x14ac:dyDescent="0.2">
      <c r="B33" t="s">
        <v>806</v>
      </c>
      <c r="D33" s="181">
        <f t="shared" ref="D33:I33" si="1">SUM(D5:D31)</f>
        <v>6969645.0699999984</v>
      </c>
      <c r="E33" s="181">
        <f t="shared" si="1"/>
        <v>643462.42999999993</v>
      </c>
      <c r="F33" s="181">
        <f t="shared" si="1"/>
        <v>0</v>
      </c>
      <c r="G33" s="181">
        <f t="shared" si="1"/>
        <v>111253.4</v>
      </c>
      <c r="H33" s="181">
        <f t="shared" si="1"/>
        <v>39822.659999999996</v>
      </c>
      <c r="I33" s="181">
        <f t="shared" si="1"/>
        <v>0</v>
      </c>
    </row>
    <row r="34" spans="1:9" ht="12" thickBot="1" x14ac:dyDescent="0.25"/>
    <row r="35" spans="1:9" ht="12" thickBot="1" x14ac:dyDescent="0.25">
      <c r="B35" s="187" t="s">
        <v>827</v>
      </c>
      <c r="D35" s="188">
        <f>E33</f>
        <v>643462.42999999993</v>
      </c>
      <c r="E35" s="184"/>
      <c r="F35" s="294" t="s">
        <v>1596</v>
      </c>
      <c r="G35" s="295"/>
      <c r="H35" s="295"/>
      <c r="I35" s="296"/>
    </row>
    <row r="36" spans="1:9" ht="12" thickTop="1" x14ac:dyDescent="0.2">
      <c r="B36" t="s">
        <v>807</v>
      </c>
      <c r="D36" s="19">
        <f>D33</f>
        <v>6969645.0699999984</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60358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topLeftCell="A3" zoomScaleNormal="100" workbookViewId="0">
      <selection activeCell="D7" sqref="D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Plainfield</v>
      </c>
      <c r="B2">
        <f>'DOE25'!B2</f>
        <v>441</v>
      </c>
      <c r="J2" s="223" t="s">
        <v>1799</v>
      </c>
      <c r="K2" s="308">
        <f>SUM('DOE25'!L198:L201)+SUM('DOE25'!L277:L280)</f>
        <v>3426787.8200000003</v>
      </c>
      <c r="L2" s="308">
        <f>'DOE25'!L203+'DOE25'!L282</f>
        <v>442621.51</v>
      </c>
      <c r="M2" s="308">
        <f>'DOE25'!L204+'DOE25'!L283</f>
        <v>245319.25999999995</v>
      </c>
      <c r="N2" s="308">
        <f>'DOE25'!L206+'DOE25'!L285</f>
        <v>386444.61999999994</v>
      </c>
      <c r="O2" s="316">
        <f>'Salaries-Benefits'!B10+'Salaries-Benefits'!B12+'Salaries-Benefits'!B19+'Salaries-Benefits'!B21+'Salaries-Benefits'!B28+'Salaries-Benefits'!B30+'Salaries-Benefits'!B37+'Salaries-Benefits'!B39</f>
        <v>1615557.8599999999</v>
      </c>
      <c r="P2" s="316">
        <f>'Salaries-Benefits'!B11+'Salaries-Benefits'!B20+'Salaries-Benefits'!B29+'Salaries-Benefits'!B38</f>
        <v>333452.26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5899108.6299999999</v>
      </c>
      <c r="G4" s="228">
        <f>'DOE25'!L212+'DOE25'!L291</f>
        <v>5899108.6299999999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+'DOE25'!F576</f>
        <v>13465.96</v>
      </c>
      <c r="E5" s="219"/>
      <c r="F5" s="231">
        <f>D5+E5</f>
        <v>13465.96</v>
      </c>
      <c r="G5" s="222"/>
      <c r="H5" s="222"/>
      <c r="J5" s="71" t="s">
        <v>1840</v>
      </c>
      <c r="K5" s="20"/>
      <c r="L5" s="20"/>
      <c r="M5" s="20"/>
      <c r="N5" s="20"/>
      <c r="O5" s="20"/>
      <c r="P5" s="20"/>
      <c r="Q5" s="20"/>
    </row>
    <row r="6" spans="1:22" x14ac:dyDescent="0.2">
      <c r="A6" t="str" cm="1">
        <f t="array" ref="A6">IFERROR(INDEX('School Tables'!$A$4:$G$365,'School Tables'!$J4,3),"")</f>
        <v>Plainfield Elementary School</v>
      </c>
      <c r="B6" s="229">
        <f>IFERROR(VLOOKUP(A6,'School Tables'!$C$3:$D$365,2,FALSE),"")</f>
        <v>21375</v>
      </c>
      <c r="C6" s="222" t="str">
        <f>IFERROR(INDEX('School Tables'!$B$3:$B$365,MATCH('School Level Expenditures'!B6,'School Tables'!$D$3:$D$365,0)),"")</f>
        <v>Plainfield</v>
      </c>
      <c r="D6" s="219">
        <f>+'DOE25'!L291+'DOE25'!L212-D5-E6</f>
        <v>5619733.71</v>
      </c>
      <c r="E6" s="219">
        <v>265908.96000000002</v>
      </c>
      <c r="F6" s="231">
        <f t="shared" ref="F6:F20" si="2">D6+E6</f>
        <v>5885642.6699999999</v>
      </c>
      <c r="G6" s="222"/>
      <c r="H6" s="222"/>
      <c r="J6" t="str">
        <f t="shared" ref="J6:J20" si="3">A6</f>
        <v>Plainfield Elementary School</v>
      </c>
      <c r="K6" s="101">
        <f>+'DOE25'!L198+'DOE25'!L277+'DOE25'!L199+'DOE25'!L201+'DOE25'!L278</f>
        <v>3426787.8200000003</v>
      </c>
      <c r="L6" s="101">
        <f>+'DOE25'!L203+'DOE25'!L282</f>
        <v>442621.51</v>
      </c>
      <c r="M6" s="319">
        <f>+'DOE25'!L204+'DOE25'!L283</f>
        <v>245319.25999999995</v>
      </c>
      <c r="N6" s="101">
        <f>+'DOE25'!L206</f>
        <v>386444.61999999994</v>
      </c>
      <c r="O6" s="219">
        <f>+'Salaries-Benefits'!B10+'Salaries-Benefits'!B19+'Salaries-Benefits'!B37+'Salaries-Benefits'!B12+'Salaries-Benefits'!B21</f>
        <v>1615557.8599999999</v>
      </c>
      <c r="P6" s="219">
        <f>+'Salaries-Benefits'!B11+'Salaries-Benefits'!B20</f>
        <v>333452.26</v>
      </c>
      <c r="Q6" s="20">
        <f>3738.52+5798.16+64.54</f>
        <v>9601.2200000000012</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5633199.6699999999</v>
      </c>
      <c r="E21" s="261">
        <f>SUM(E5:E20)</f>
        <v>265908.96000000002</v>
      </c>
      <c r="F21" s="216"/>
      <c r="G21" s="216"/>
      <c r="H21" s="216"/>
      <c r="K21" s="262">
        <f t="shared" ref="K21:Q21" si="4">SUM(K5:K20)</f>
        <v>3426787.8200000003</v>
      </c>
      <c r="L21" s="262">
        <f t="shared" si="4"/>
        <v>442621.51</v>
      </c>
      <c r="M21" s="262">
        <f t="shared" si="4"/>
        <v>245319.25999999995</v>
      </c>
      <c r="N21" s="262">
        <f t="shared" si="4"/>
        <v>386444.61999999994</v>
      </c>
      <c r="O21" s="262">
        <f t="shared" si="4"/>
        <v>1615557.8599999999</v>
      </c>
      <c r="P21" s="262">
        <f t="shared" si="4"/>
        <v>333452.26</v>
      </c>
      <c r="Q21" s="262">
        <f t="shared" si="4"/>
        <v>9601.2200000000012</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1805695.95</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1805695.95</v>
      </c>
      <c r="G38" s="228">
        <f>'DOE25'!L248+'DOE25'!L329</f>
        <v>1805695.95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+'DOE25'!L248</f>
        <v>1805695.95</v>
      </c>
      <c r="E39" s="219"/>
      <c r="F39" s="231">
        <f t="shared" ref="F39:F44" si="10">D39+E39</f>
        <v>1805695.95</v>
      </c>
      <c r="G39" s="222"/>
      <c r="H39" s="222"/>
      <c r="J39" s="71" t="s">
        <v>1840</v>
      </c>
      <c r="K39" s="318">
        <f>+'DOE25'!L248</f>
        <v>1805695.95</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1805695.95</v>
      </c>
      <c r="E45" s="262">
        <f>SUM(E39:E44)</f>
        <v>0</v>
      </c>
      <c r="K45" s="262">
        <f t="shared" ref="K45:Q45" si="11">SUM(K39:K44)</f>
        <v>1805695.95</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Plainfield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426464.66000000003</v>
      </c>
      <c r="D8" s="73">
        <f>'DOE25'!G9</f>
        <v>0</v>
      </c>
      <c r="E8" s="73">
        <f>'DOE25'!H9</f>
        <v>0</v>
      </c>
      <c r="F8" s="73">
        <f>'DOE25'!I9</f>
        <v>0</v>
      </c>
      <c r="G8" s="73">
        <f>'DOE25'!J9</f>
        <v>523656.99999999994</v>
      </c>
      <c r="H8" s="13">
        <f>SUM(C8:G8)</f>
        <v>950121.65999999992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26755.89</v>
      </c>
      <c r="E11" s="73">
        <f>'DOE25'!H12</f>
        <v>2471.9600000000064</v>
      </c>
      <c r="F11" s="73">
        <f>'DOE25'!I12</f>
        <v>0</v>
      </c>
      <c r="G11" s="73">
        <f>'DOE25'!J12</f>
        <v>0</v>
      </c>
      <c r="H11" s="13">
        <f t="shared" si="0"/>
        <v>29227.850000000006</v>
      </c>
      <c r="I11" s="90"/>
    </row>
    <row r="12" spans="1:9" x14ac:dyDescent="0.2">
      <c r="A12" s="1" t="s">
        <v>143</v>
      </c>
      <c r="B12" s="6">
        <v>140</v>
      </c>
      <c r="C12" s="73">
        <f>'DOE25'!F13</f>
        <v>0</v>
      </c>
      <c r="D12" s="73">
        <f>'DOE25'!G13</f>
        <v>3219.91</v>
      </c>
      <c r="E12" s="73">
        <f>'DOE25'!H13</f>
        <v>79476.84</v>
      </c>
      <c r="F12" s="73">
        <f>'DOE25'!I13</f>
        <v>0</v>
      </c>
      <c r="G12" s="73">
        <f>'DOE25'!J13</f>
        <v>0</v>
      </c>
      <c r="H12" s="13">
        <f t="shared" si="0"/>
        <v>82696.75</v>
      </c>
      <c r="I12" s="90"/>
    </row>
    <row r="13" spans="1:9" x14ac:dyDescent="0.2">
      <c r="A13" s="1" t="s">
        <v>144</v>
      </c>
      <c r="B13" s="6">
        <v>150</v>
      </c>
      <c r="C13" s="73">
        <f>'DOE25'!F14</f>
        <v>37980.11</v>
      </c>
      <c r="D13" s="73">
        <f>'DOE25'!G14</f>
        <v>0</v>
      </c>
      <c r="E13" s="73">
        <f>'DOE25'!H14</f>
        <v>0</v>
      </c>
      <c r="F13" s="73">
        <f>'DOE25'!I14</f>
        <v>0</v>
      </c>
      <c r="G13" s="73">
        <f>'DOE25'!J14</f>
        <v>0</v>
      </c>
      <c r="H13" s="13">
        <f t="shared" si="0"/>
        <v>37980.11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464444.77</v>
      </c>
      <c r="D18" s="38">
        <f>SUM(D8:D17)</f>
        <v>29975.8</v>
      </c>
      <c r="E18" s="38">
        <f>SUM(E8:E17)</f>
        <v>81948.800000000003</v>
      </c>
      <c r="F18" s="38">
        <f>SUM(F8:F17)</f>
        <v>0</v>
      </c>
      <c r="G18" s="38">
        <f>SUM(G8:G17)</f>
        <v>523656.99999999994</v>
      </c>
      <c r="H18" s="38">
        <f t="shared" si="0"/>
        <v>1100026.3699999999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29227.85</v>
      </c>
      <c r="D21" s="73">
        <f>'DOE25'!G22</f>
        <v>0</v>
      </c>
      <c r="E21" s="73">
        <f>'DOE25'!H22</f>
        <v>0</v>
      </c>
      <c r="F21" s="73">
        <f>'DOE25'!I22</f>
        <v>0</v>
      </c>
      <c r="G21" s="73">
        <f>'DOE25'!J22</f>
        <v>0</v>
      </c>
      <c r="H21" s="13">
        <f t="shared" ref="H21:H31" si="1">SUM(C21:G21)</f>
        <v>29227.85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118562.45</v>
      </c>
      <c r="D23" s="73">
        <f>'DOE25'!G24</f>
        <v>6450.46</v>
      </c>
      <c r="E23" s="73">
        <f>'DOE25'!H24</f>
        <v>41817.06</v>
      </c>
      <c r="F23" s="73">
        <f>'DOE25'!I24</f>
        <v>0</v>
      </c>
      <c r="G23" s="73">
        <f>'DOE25'!J24</f>
        <v>0</v>
      </c>
      <c r="H23" s="13">
        <f t="shared" si="1"/>
        <v>166829.97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18042.04</v>
      </c>
      <c r="D28" s="73">
        <f>'DOE25'!G29</f>
        <v>0</v>
      </c>
      <c r="E28" s="73">
        <f>'DOE25'!H29</f>
        <v>918.54</v>
      </c>
      <c r="F28" s="73">
        <f>'DOE25'!I29</f>
        <v>0</v>
      </c>
      <c r="G28" s="23" t="s">
        <v>288</v>
      </c>
      <c r="H28" s="13">
        <f t="shared" si="1"/>
        <v>18960.580000000002</v>
      </c>
      <c r="I28" s="90"/>
    </row>
    <row r="29" spans="1:9" x14ac:dyDescent="0.2">
      <c r="A29" s="1" t="s">
        <v>158</v>
      </c>
      <c r="B29" s="6">
        <v>480</v>
      </c>
      <c r="C29" s="73">
        <f>'DOE25'!F30</f>
        <v>0</v>
      </c>
      <c r="D29" s="73">
        <f>'DOE25'!G30</f>
        <v>6417</v>
      </c>
      <c r="E29" s="73">
        <f>'DOE25'!H30</f>
        <v>999.78</v>
      </c>
      <c r="F29" s="73">
        <f>'DOE25'!I30</f>
        <v>0</v>
      </c>
      <c r="G29" s="23" t="s">
        <v>288</v>
      </c>
      <c r="H29" s="13">
        <f t="shared" si="1"/>
        <v>7416.78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165832.34</v>
      </c>
      <c r="D31" s="38">
        <f>SUM(D21:D30)</f>
        <v>12867.46</v>
      </c>
      <c r="E31" s="38">
        <f>SUM(E21:E30)</f>
        <v>43735.38</v>
      </c>
      <c r="F31" s="38">
        <f>SUM(F21:F30)</f>
        <v>0</v>
      </c>
      <c r="G31" s="38">
        <f>SUM(G21:G30)</f>
        <v>0</v>
      </c>
      <c r="H31" s="38">
        <f t="shared" si="1"/>
        <v>222435.18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17108.34</v>
      </c>
      <c r="E39" s="23" t="s">
        <v>288</v>
      </c>
      <c r="F39" s="23" t="s">
        <v>288</v>
      </c>
      <c r="G39" s="23" t="s">
        <v>288</v>
      </c>
      <c r="H39" s="13">
        <f t="shared" si="2"/>
        <v>17108.34</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t="str">
        <f>'DOE25'!F43</f>
        <v xml:space="preserve"> </v>
      </c>
      <c r="D42" s="73">
        <f>'DOE25'!G43</f>
        <v>0</v>
      </c>
      <c r="E42" s="73">
        <f>'DOE25'!H43</f>
        <v>0</v>
      </c>
      <c r="F42" s="73">
        <f>'DOE25'!I43</f>
        <v>0</v>
      </c>
      <c r="G42" s="73">
        <f>'DOE25'!J43</f>
        <v>0</v>
      </c>
      <c r="H42" s="13">
        <f t="shared" si="2"/>
        <v>0</v>
      </c>
      <c r="I42" s="90"/>
    </row>
    <row r="43" spans="1:9" x14ac:dyDescent="0.2">
      <c r="A43" s="1" t="s">
        <v>859</v>
      </c>
      <c r="B43" s="6">
        <v>755</v>
      </c>
      <c r="C43" s="73">
        <f>'DOE25'!F44</f>
        <v>10000</v>
      </c>
      <c r="D43" s="73">
        <f>'DOE25'!G44</f>
        <v>0</v>
      </c>
      <c r="E43" s="73">
        <f>'DOE25'!H44</f>
        <v>0</v>
      </c>
      <c r="F43" s="73">
        <f>'DOE25'!I44</f>
        <v>0</v>
      </c>
      <c r="G43" s="23" t="s">
        <v>288</v>
      </c>
      <c r="H43" s="13">
        <f t="shared" si="2"/>
        <v>10000</v>
      </c>
      <c r="I43" s="90"/>
    </row>
    <row r="44" spans="1:9" x14ac:dyDescent="0.2">
      <c r="A44" s="1" t="s">
        <v>860</v>
      </c>
      <c r="B44" s="6">
        <v>753</v>
      </c>
      <c r="C44" s="73" t="str">
        <f>'DOE25'!F45</f>
        <v xml:space="preserve"> </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38213.420000000006</v>
      </c>
      <c r="F47" s="73">
        <f>'DOE25'!I48</f>
        <v>0</v>
      </c>
      <c r="G47" s="73">
        <f>'DOE25'!J48</f>
        <v>523656.99999999994</v>
      </c>
      <c r="H47" s="13">
        <f t="shared" si="2"/>
        <v>561870.41999999993</v>
      </c>
      <c r="I47" s="90"/>
    </row>
    <row r="48" spans="1:9" x14ac:dyDescent="0.2">
      <c r="A48" s="1" t="s">
        <v>878</v>
      </c>
      <c r="B48" s="6">
        <v>753</v>
      </c>
      <c r="C48" s="73">
        <f>'DOE25'!F49</f>
        <v>18536.5</v>
      </c>
      <c r="D48" s="73">
        <f>'DOE25'!G49</f>
        <v>0</v>
      </c>
      <c r="E48" s="73">
        <f>'DOE25'!H49</f>
        <v>0</v>
      </c>
      <c r="F48" s="73">
        <f>'DOE25'!I49</f>
        <v>0</v>
      </c>
      <c r="G48" s="73">
        <f>'DOE25'!J49</f>
        <v>0</v>
      </c>
      <c r="H48" s="13">
        <f t="shared" si="2"/>
        <v>18536.5</v>
      </c>
      <c r="I48" s="90"/>
    </row>
    <row r="49" spans="1:9" ht="12" thickBot="1" x14ac:dyDescent="0.25">
      <c r="A49" s="28" t="s">
        <v>879</v>
      </c>
      <c r="B49" s="56">
        <v>770</v>
      </c>
      <c r="C49" s="73">
        <f>'DOE25'!F50</f>
        <v>270075.93000000005</v>
      </c>
      <c r="D49" s="23" t="s">
        <v>288</v>
      </c>
      <c r="E49" s="23" t="s">
        <v>288</v>
      </c>
      <c r="F49" s="23" t="s">
        <v>288</v>
      </c>
      <c r="G49" s="23" t="s">
        <v>288</v>
      </c>
      <c r="H49" s="13">
        <f t="shared" si="2"/>
        <v>270075.93000000005</v>
      </c>
      <c r="I49" s="90"/>
    </row>
    <row r="50" spans="1:9" ht="12.75" thickTop="1" thickBot="1" x14ac:dyDescent="0.25">
      <c r="A50" s="35" t="s">
        <v>880</v>
      </c>
      <c r="B50" s="44"/>
      <c r="C50" s="38">
        <f>SUM(C34:C49)</f>
        <v>298612.43000000005</v>
      </c>
      <c r="D50" s="38">
        <f>SUM(D34:D49)</f>
        <v>17108.34</v>
      </c>
      <c r="E50" s="38">
        <f>SUM(E34:E49)</f>
        <v>38213.420000000006</v>
      </c>
      <c r="F50" s="38">
        <f>SUM(F34:F49)</f>
        <v>0</v>
      </c>
      <c r="G50" s="38">
        <f>SUM(G34:G49)</f>
        <v>523656.99999999994</v>
      </c>
      <c r="H50" s="38">
        <f t="shared" si="2"/>
        <v>877591.19</v>
      </c>
      <c r="I50" s="90"/>
    </row>
    <row r="51" spans="1:9" ht="12" thickTop="1" x14ac:dyDescent="0.2">
      <c r="A51" s="35" t="s">
        <v>881</v>
      </c>
      <c r="B51" s="2"/>
      <c r="C51" s="38">
        <f>C50+C31</f>
        <v>464444.77</v>
      </c>
      <c r="D51" s="38">
        <f>D50+D31</f>
        <v>29975.8</v>
      </c>
      <c r="E51" s="38">
        <f>E50+E31</f>
        <v>81948.800000000003</v>
      </c>
      <c r="F51" s="38">
        <f>F50+F31</f>
        <v>0</v>
      </c>
      <c r="G51" s="38">
        <f>G50+G31</f>
        <v>523656.99999999994</v>
      </c>
      <c r="H51" s="38">
        <f t="shared" si="2"/>
        <v>1100026.3699999999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5126496</v>
      </c>
      <c r="D56" s="73">
        <f>'DOE25'!G60</f>
        <v>0</v>
      </c>
      <c r="E56" s="73">
        <f>'DOE25'!H60</f>
        <v>0</v>
      </c>
      <c r="F56" s="73">
        <f>'DOE25'!I60</f>
        <v>0</v>
      </c>
      <c r="G56" s="73">
        <f>'DOE25'!J60</f>
        <v>0</v>
      </c>
      <c r="H56" s="13">
        <f t="shared" ref="H56:H63" si="3">SUM(C56:G56)</f>
        <v>5126496</v>
      </c>
      <c r="I56"/>
    </row>
    <row r="57" spans="1:9" x14ac:dyDescent="0.2">
      <c r="A57" s="1" t="s">
        <v>164</v>
      </c>
      <c r="B57" s="6" t="s">
        <v>165</v>
      </c>
      <c r="C57" s="73">
        <f>'DOE25'!F79</f>
        <v>21962.43</v>
      </c>
      <c r="D57" s="23" t="s">
        <v>288</v>
      </c>
      <c r="E57" s="73">
        <f>'DOE25'!H79</f>
        <v>0</v>
      </c>
      <c r="F57" s="23" t="s">
        <v>288</v>
      </c>
      <c r="G57" s="23" t="s">
        <v>288</v>
      </c>
      <c r="H57" s="13">
        <f t="shared" si="3"/>
        <v>21962.43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18380.71</v>
      </c>
      <c r="D59" s="73">
        <f>'DOE25'!G96</f>
        <v>0</v>
      </c>
      <c r="E59" s="73">
        <f>'DOE25'!H96</f>
        <v>0</v>
      </c>
      <c r="F59" s="73">
        <f>'DOE25'!I96</f>
        <v>0</v>
      </c>
      <c r="G59" s="73">
        <f>'DOE25'!J96</f>
        <v>16218.15</v>
      </c>
      <c r="H59" s="13">
        <f t="shared" si="3"/>
        <v>34598.86</v>
      </c>
      <c r="I59"/>
    </row>
    <row r="60" spans="1:9" x14ac:dyDescent="0.2">
      <c r="A60" s="1" t="s">
        <v>170</v>
      </c>
      <c r="B60" s="22" t="s">
        <v>171</v>
      </c>
      <c r="C60" s="23" t="s">
        <v>288</v>
      </c>
      <c r="D60" s="73">
        <f>'DOE25'!G97</f>
        <v>36027.300000000003</v>
      </c>
      <c r="E60" s="23" t="s">
        <v>288</v>
      </c>
      <c r="F60" s="23" t="s">
        <v>288</v>
      </c>
      <c r="G60" s="23" t="s">
        <v>288</v>
      </c>
      <c r="H60" s="13">
        <f t="shared" si="3"/>
        <v>36027.300000000003</v>
      </c>
      <c r="I60"/>
    </row>
    <row r="61" spans="1:9" ht="12" thickBot="1" x14ac:dyDescent="0.25">
      <c r="A61" s="1" t="s">
        <v>172</v>
      </c>
      <c r="B61" s="22" t="s">
        <v>173</v>
      </c>
      <c r="C61" s="73">
        <f>SUM('DOE25'!F98:F110)</f>
        <v>375100.33999999997</v>
      </c>
      <c r="D61" s="73">
        <f>SUM('DOE25'!G98:G110)</f>
        <v>0</v>
      </c>
      <c r="E61" s="73">
        <f>SUM('DOE25'!H98:H110)</f>
        <v>0</v>
      </c>
      <c r="F61" s="73">
        <f>SUM('DOE25'!I98:I110)</f>
        <v>0</v>
      </c>
      <c r="G61" s="73">
        <f>SUM('DOE25'!J98:J110)</f>
        <v>0</v>
      </c>
      <c r="H61" s="13">
        <f t="shared" si="3"/>
        <v>375100.33999999997</v>
      </c>
      <c r="I61"/>
    </row>
    <row r="62" spans="1:9" ht="12.75" thickTop="1" thickBot="1" x14ac:dyDescent="0.25">
      <c r="A62" s="28" t="s">
        <v>174</v>
      </c>
      <c r="B62" s="6"/>
      <c r="C62" s="93">
        <f>SUM(C57:C61)</f>
        <v>415443.48</v>
      </c>
      <c r="D62" s="93">
        <f>SUM(D57:D61)</f>
        <v>36027.300000000003</v>
      </c>
      <c r="E62" s="93">
        <f>SUM(E57:E61)</f>
        <v>0</v>
      </c>
      <c r="F62" s="93">
        <f>SUM(F57:F61)</f>
        <v>0</v>
      </c>
      <c r="G62" s="93">
        <f>SUM(G57:G61)</f>
        <v>16218.15</v>
      </c>
      <c r="H62" s="13">
        <f t="shared" si="3"/>
        <v>467688.93</v>
      </c>
      <c r="I62"/>
    </row>
    <row r="63" spans="1:9" ht="12" thickTop="1" x14ac:dyDescent="0.2">
      <c r="A63" s="28" t="s">
        <v>175</v>
      </c>
      <c r="B63" s="6"/>
      <c r="C63" s="21">
        <f>C56+C62</f>
        <v>5541939.4800000004</v>
      </c>
      <c r="D63" s="21">
        <f>D56+D62</f>
        <v>36027.300000000003</v>
      </c>
      <c r="E63" s="21">
        <f>E56+E62</f>
        <v>0</v>
      </c>
      <c r="F63" s="21">
        <f>F56+F62</f>
        <v>0</v>
      </c>
      <c r="G63" s="21">
        <f>G56+G62</f>
        <v>16218.15</v>
      </c>
      <c r="H63" s="13">
        <f t="shared" si="3"/>
        <v>5594184.9300000006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777136.28</v>
      </c>
      <c r="D66" s="23" t="s">
        <v>288</v>
      </c>
      <c r="E66" s="23" t="s">
        <v>288</v>
      </c>
      <c r="F66" s="23" t="s">
        <v>288</v>
      </c>
      <c r="G66" s="23" t="s">
        <v>288</v>
      </c>
      <c r="H66" s="13">
        <f t="shared" ref="H66:H81" si="4">SUM(C66:G66)</f>
        <v>777136.28</v>
      </c>
      <c r="I66"/>
    </row>
    <row r="67" spans="1:9" x14ac:dyDescent="0.2">
      <c r="A67" s="1" t="s">
        <v>767</v>
      </c>
      <c r="B67" s="6">
        <v>3112</v>
      </c>
      <c r="C67" s="73">
        <f>'DOE25'!F118</f>
        <v>592282</v>
      </c>
      <c r="D67" s="23"/>
      <c r="E67" s="23"/>
      <c r="F67" s="23"/>
      <c r="G67" s="23"/>
      <c r="H67" s="13">
        <f t="shared" si="4"/>
        <v>592282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1369418.28</v>
      </c>
      <c r="D70" s="97">
        <f>D69</f>
        <v>0</v>
      </c>
      <c r="E70" s="97">
        <f>E69</f>
        <v>0</v>
      </c>
      <c r="F70" s="97">
        <f>F69</f>
        <v>0</v>
      </c>
      <c r="G70" s="97">
        <f>G69</f>
        <v>0</v>
      </c>
      <c r="H70" s="13">
        <f t="shared" si="4"/>
        <v>1369418.28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349634.72</v>
      </c>
      <c r="D75" s="23" t="s">
        <v>288</v>
      </c>
      <c r="E75" s="23" t="s">
        <v>288</v>
      </c>
      <c r="F75" s="23" t="s">
        <v>288</v>
      </c>
      <c r="G75" s="23" t="s">
        <v>288</v>
      </c>
      <c r="H75" s="13">
        <f t="shared" si="4"/>
        <v>349634.72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63438.48</v>
      </c>
      <c r="D77" s="73">
        <f>SUM('DOE25'!G131:G135)</f>
        <v>767.21</v>
      </c>
      <c r="E77" s="73">
        <f>SUM('DOE25'!H131:H135)</f>
        <v>0</v>
      </c>
      <c r="F77" s="73">
        <f>SUM('DOE25'!I131:I135)</f>
        <v>0</v>
      </c>
      <c r="G77" s="73">
        <f>SUM('DOE25'!J131:J135)</f>
        <v>0</v>
      </c>
      <c r="H77" s="13">
        <f t="shared" si="4"/>
        <v>64205.69</v>
      </c>
      <c r="I77"/>
    </row>
    <row r="78" spans="1:9" ht="12.75" thickTop="1" thickBot="1" x14ac:dyDescent="0.25">
      <c r="A78" s="28" t="s">
        <v>259</v>
      </c>
      <c r="B78" s="6"/>
      <c r="C78" s="93">
        <f>SUM(C72:C77)</f>
        <v>413073.19999999995</v>
      </c>
      <c r="D78" s="93">
        <f>SUM(D72:D77)</f>
        <v>767.21</v>
      </c>
      <c r="E78" s="93">
        <f>SUM(E72:E77)</f>
        <v>0</v>
      </c>
      <c r="F78" s="93">
        <f>SUM(F72:F77)</f>
        <v>0</v>
      </c>
      <c r="G78" s="93">
        <f>SUM(G72:G77)</f>
        <v>0</v>
      </c>
      <c r="H78" s="13">
        <f t="shared" si="4"/>
        <v>413840.41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1782491.48</v>
      </c>
      <c r="D81" s="93">
        <f>SUM(D79:D80)+D78+D70</f>
        <v>767.21</v>
      </c>
      <c r="E81" s="93">
        <f>SUM(E79:E80)+E78+E70</f>
        <v>0</v>
      </c>
      <c r="F81" s="93">
        <f>SUM(F79:F80)+F78+F70</f>
        <v>0</v>
      </c>
      <c r="G81" s="93">
        <f>SUM(G79:G80)+G78+G70</f>
        <v>0</v>
      </c>
      <c r="H81" s="93">
        <f t="shared" si="4"/>
        <v>1783258.69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26828.98</v>
      </c>
      <c r="F85" s="73">
        <f>'DOE25'!I147</f>
        <v>0</v>
      </c>
      <c r="G85" s="23" t="s">
        <v>288</v>
      </c>
      <c r="H85" s="13">
        <f t="shared" ref="H85:H104" si="5">SUM(C85:G85)</f>
        <v>26828.98</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16560.78</v>
      </c>
      <c r="D88" s="252">
        <f>SUM('DOE25'!G153:G162)</f>
        <v>10128.709999999999</v>
      </c>
      <c r="E88" s="252">
        <f>SUM('DOE25'!H153:H162)</f>
        <v>265908.96000000002</v>
      </c>
      <c r="F88" s="252">
        <f>SUM('DOE25'!I153:I162)</f>
        <v>0</v>
      </c>
      <c r="G88" s="23" t="s">
        <v>288</v>
      </c>
      <c r="H88" s="13">
        <f t="shared" si="5"/>
        <v>292598.45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16560.78</v>
      </c>
      <c r="D91" s="94">
        <f>SUM(D85:D90)</f>
        <v>10128.709999999999</v>
      </c>
      <c r="E91" s="94">
        <f>SUM(E85:E90)</f>
        <v>292737.94</v>
      </c>
      <c r="F91" s="94">
        <f>SUM(F85:F90)</f>
        <v>0</v>
      </c>
      <c r="G91" s="23" t="s">
        <v>288</v>
      </c>
      <c r="H91" s="13">
        <f t="shared" si="5"/>
        <v>319427.43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16179.97</v>
      </c>
      <c r="E96" s="73">
        <f>'DOE25'!H180</f>
        <v>0</v>
      </c>
      <c r="F96" s="73">
        <f>'DOE25'!I180</f>
        <v>0</v>
      </c>
      <c r="G96" s="73">
        <f>'DOE25'!J180</f>
        <v>30000</v>
      </c>
      <c r="H96" s="13">
        <f t="shared" si="5"/>
        <v>46179.97</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16179.97</v>
      </c>
      <c r="E103" s="68">
        <f>SUM(E93:E102)</f>
        <v>0</v>
      </c>
      <c r="F103" s="68">
        <f>SUM(F93:F102)</f>
        <v>0</v>
      </c>
      <c r="G103" s="68">
        <f>SUM(G93:G102)</f>
        <v>30000</v>
      </c>
      <c r="H103" s="68">
        <f t="shared" si="5"/>
        <v>46179.97</v>
      </c>
    </row>
    <row r="104" spans="1:8" ht="12.75" thickTop="1" thickBot="1" x14ac:dyDescent="0.25">
      <c r="A104" s="32" t="s">
        <v>758</v>
      </c>
      <c r="C104" s="68">
        <f>C63+C81+C91+C103</f>
        <v>7340991.7400000012</v>
      </c>
      <c r="D104" s="68">
        <f>D63+D81+D91+D103</f>
        <v>63103.19</v>
      </c>
      <c r="E104" s="68">
        <f>E63+E81+E91+E103</f>
        <v>292737.94</v>
      </c>
      <c r="F104" s="68">
        <f>F63+F81+F91+F103</f>
        <v>0</v>
      </c>
      <c r="G104" s="68">
        <f>G63+G81+G103</f>
        <v>46218.15</v>
      </c>
      <c r="H104" s="68">
        <f t="shared" si="5"/>
        <v>7743051.0200000023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3431252.17</v>
      </c>
      <c r="D109" s="23" t="s">
        <v>288</v>
      </c>
      <c r="E109" s="73">
        <f>('DOE25'!L277)+('DOE25'!L296)+('DOE25'!L315)</f>
        <v>55060.83</v>
      </c>
      <c r="F109" s="23" t="s">
        <v>288</v>
      </c>
      <c r="G109" s="23" t="s">
        <v>288</v>
      </c>
      <c r="H109" s="13">
        <f t="shared" ref="H109:H115" si="6">SUM(C109:G109)</f>
        <v>3486313</v>
      </c>
    </row>
    <row r="110" spans="1:8" x14ac:dyDescent="0.2">
      <c r="A110" t="s">
        <v>198</v>
      </c>
      <c r="B110" s="31" t="s">
        <v>199</v>
      </c>
      <c r="C110" s="73">
        <f>('DOE25'!L199)+('DOE25'!L217)+('DOE25'!L235)</f>
        <v>1611910.9499999997</v>
      </c>
      <c r="D110" s="23" t="s">
        <v>288</v>
      </c>
      <c r="E110" s="73">
        <f>('DOE25'!L278)+('DOE25'!L297)+('DOE25'!L316)</f>
        <v>93976.390000000014</v>
      </c>
      <c r="F110" s="23" t="s">
        <v>288</v>
      </c>
      <c r="G110" s="23" t="s">
        <v>288</v>
      </c>
      <c r="H110" s="13">
        <f t="shared" si="6"/>
        <v>1705887.3399999999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40283.43</v>
      </c>
      <c r="D112" s="23" t="s">
        <v>288</v>
      </c>
      <c r="E112" s="73">
        <f>+('DOE25'!L280)+('DOE25'!L299)+('DOE25'!L318)</f>
        <v>0</v>
      </c>
      <c r="F112" s="23" t="s">
        <v>288</v>
      </c>
      <c r="G112" s="23" t="s">
        <v>288</v>
      </c>
      <c r="H112" s="13">
        <f t="shared" si="6"/>
        <v>40283.43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5083446.5499999989</v>
      </c>
      <c r="D115" s="68">
        <f>SUM(D109:D114)</f>
        <v>0</v>
      </c>
      <c r="E115" s="68">
        <f>SUM(E109:E114)</f>
        <v>149037.22000000003</v>
      </c>
      <c r="F115" s="68">
        <f>SUM(F109:F114)</f>
        <v>0</v>
      </c>
      <c r="G115" s="68">
        <f>SUM(G109:G114)</f>
        <v>0</v>
      </c>
      <c r="H115" s="68">
        <f t="shared" si="6"/>
        <v>5232483.7699999986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409834.39</v>
      </c>
      <c r="D118" s="23" t="s">
        <v>288</v>
      </c>
      <c r="E118" s="73">
        <f>+('DOE25'!L282)+('DOE25'!L301)+('DOE25'!L320)</f>
        <v>32787.120000000003</v>
      </c>
      <c r="F118" s="23" t="s">
        <v>288</v>
      </c>
      <c r="G118" s="23" t="s">
        <v>288</v>
      </c>
      <c r="H118" s="13">
        <f t="shared" ref="H118:H145" si="7">SUM(C118:G118)</f>
        <v>442621.51</v>
      </c>
    </row>
    <row r="119" spans="1:8" x14ac:dyDescent="0.2">
      <c r="A119" t="s">
        <v>208</v>
      </c>
      <c r="B119" s="31" t="s">
        <v>209</v>
      </c>
      <c r="C119" s="73">
        <f>('DOE25'!L204)+('DOE25'!L222)+('DOE25'!L240)</f>
        <v>195802.44999999995</v>
      </c>
      <c r="D119" s="23" t="s">
        <v>288</v>
      </c>
      <c r="E119" s="73">
        <f>+('DOE25'!L283)+('DOE25'!L302)+('DOE25'!L321)</f>
        <v>49516.81</v>
      </c>
      <c r="F119" s="23" t="s">
        <v>288</v>
      </c>
      <c r="G119" s="23" t="s">
        <v>288</v>
      </c>
      <c r="H119" s="13">
        <f t="shared" si="7"/>
        <v>245319.25999999995</v>
      </c>
    </row>
    <row r="120" spans="1:8" x14ac:dyDescent="0.2">
      <c r="A120" t="s">
        <v>210</v>
      </c>
      <c r="B120" s="31" t="s">
        <v>211</v>
      </c>
      <c r="C120" s="73">
        <f>('DOE25'!L205)+('DOE25'!L223)+('DOE25'!L241)</f>
        <v>655557.09</v>
      </c>
      <c r="D120" s="23" t="s">
        <v>288</v>
      </c>
      <c r="E120" s="73">
        <f>+('DOE25'!L284)+('DOE25'!L303)+('DOE25'!L322)</f>
        <v>900</v>
      </c>
      <c r="F120" s="23" t="s">
        <v>288</v>
      </c>
      <c r="G120" s="23" t="s">
        <v>288</v>
      </c>
      <c r="H120" s="13">
        <f t="shared" si="7"/>
        <v>656457.09</v>
      </c>
    </row>
    <row r="121" spans="1:8" x14ac:dyDescent="0.2">
      <c r="A121" t="s">
        <v>212</v>
      </c>
      <c r="B121" s="31" t="s">
        <v>213</v>
      </c>
      <c r="C121" s="73">
        <f>('DOE25'!L206)+('DOE25'!L224)+('DOE25'!L242)</f>
        <v>386444.61999999994</v>
      </c>
      <c r="D121" s="23" t="s">
        <v>288</v>
      </c>
      <c r="E121" s="73">
        <f>+('DOE25'!L285)+('DOE25'!L304)+('DOE25'!L323)</f>
        <v>0</v>
      </c>
      <c r="F121" s="23" t="s">
        <v>288</v>
      </c>
      <c r="G121" s="23" t="s">
        <v>288</v>
      </c>
      <c r="H121" s="13">
        <f t="shared" si="7"/>
        <v>386444.61999999994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385615.18000000005</v>
      </c>
      <c r="D123" s="23" t="s">
        <v>288</v>
      </c>
      <c r="E123" s="73">
        <f>+('DOE25'!L287)+('DOE25'!L306)+('DOE25'!L325)</f>
        <v>60871.22</v>
      </c>
      <c r="F123" s="23" t="s">
        <v>288</v>
      </c>
      <c r="G123" s="23" t="s">
        <v>288</v>
      </c>
      <c r="H123" s="13">
        <f t="shared" si="7"/>
        <v>446486.4</v>
      </c>
    </row>
    <row r="124" spans="1:8" x14ac:dyDescent="0.2">
      <c r="A124" t="s">
        <v>218</v>
      </c>
      <c r="B124" s="31" t="s">
        <v>219</v>
      </c>
      <c r="C124" s="73">
        <f>('DOE25'!L209)+('DOE25'!L227)+('DOE25'!L245+'DOE25'!L255)</f>
        <v>294991.93</v>
      </c>
      <c r="D124" s="23" t="s">
        <v>288</v>
      </c>
      <c r="E124" s="73">
        <f>+('DOE25'!L288)+('DOE25'!L307)+('DOE25'!L326)</f>
        <v>0</v>
      </c>
      <c r="F124" s="23" t="s">
        <v>288</v>
      </c>
      <c r="G124" s="23" t="s">
        <v>288</v>
      </c>
      <c r="H124" s="13">
        <f t="shared" si="7"/>
        <v>294991.93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63900.850000000006</v>
      </c>
      <c r="E127" s="23" t="s">
        <v>288</v>
      </c>
      <c r="F127" s="23" t="s">
        <v>288</v>
      </c>
      <c r="G127" s="23" t="s">
        <v>288</v>
      </c>
      <c r="H127" s="13">
        <f t="shared" si="7"/>
        <v>63900.850000000006</v>
      </c>
    </row>
    <row r="128" spans="1:8" ht="12.75" thickTop="1" thickBot="1" x14ac:dyDescent="0.25">
      <c r="A128" s="32" t="s">
        <v>226</v>
      </c>
      <c r="C128" s="68">
        <f>SUM(C118:C127)</f>
        <v>2328245.66</v>
      </c>
      <c r="D128" s="68">
        <f>SUM(D118:D127)</f>
        <v>63900.850000000006</v>
      </c>
      <c r="E128" s="68">
        <f>SUM(E118:E127)</f>
        <v>144075.15</v>
      </c>
      <c r="F128" s="68">
        <f>SUM(F118:F127)</f>
        <v>0</v>
      </c>
      <c r="G128" s="68">
        <f>SUM(G118:G127)</f>
        <v>0</v>
      </c>
      <c r="H128" s="68">
        <f t="shared" si="7"/>
        <v>2536221.66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55836.13</v>
      </c>
      <c r="D130" s="23" t="s">
        <v>288</v>
      </c>
      <c r="E130" s="92">
        <f>'DOE25'!L337</f>
        <v>0</v>
      </c>
      <c r="F130" s="92">
        <f>SUM('DOE25'!L375:'DOE25'!L381)</f>
        <v>0</v>
      </c>
      <c r="G130" s="23" t="s">
        <v>288</v>
      </c>
      <c r="H130" s="13">
        <f t="shared" si="7"/>
        <v>55836.13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16179.97</v>
      </c>
      <c r="D135" s="23" t="s">
        <v>288</v>
      </c>
      <c r="E135" s="92">
        <f>'DOE25'!L346</f>
        <v>0</v>
      </c>
      <c r="F135" s="23" t="s">
        <v>288</v>
      </c>
      <c r="G135" s="23" t="s">
        <v>288</v>
      </c>
      <c r="H135" s="13">
        <f t="shared" si="7"/>
        <v>16179.97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46218.149999999994</v>
      </c>
      <c r="D139" s="23" t="s">
        <v>288</v>
      </c>
      <c r="E139" s="23" t="s">
        <v>288</v>
      </c>
      <c r="F139" s="23" t="s">
        <v>288</v>
      </c>
      <c r="G139" s="23" t="s">
        <v>288</v>
      </c>
      <c r="H139" s="13">
        <f t="shared" si="7"/>
        <v>46218.149999999994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-16218.149999999994</v>
      </c>
      <c r="D141" s="23" t="s">
        <v>288</v>
      </c>
      <c r="E141" s="23" t="s">
        <v>288</v>
      </c>
      <c r="F141" s="23" t="s">
        <v>288</v>
      </c>
      <c r="G141" s="23" t="s">
        <v>288</v>
      </c>
      <c r="H141" s="13">
        <f t="shared" si="7"/>
        <v>-16218.149999999994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102016.09999999999</v>
      </c>
      <c r="D144" s="98">
        <f>SUM(D130:D143)</f>
        <v>0</v>
      </c>
      <c r="E144" s="98">
        <f>SUM(E130:E143)</f>
        <v>0</v>
      </c>
      <c r="F144" s="98">
        <f>SUM(F130:F143)</f>
        <v>0</v>
      </c>
      <c r="G144" s="98">
        <f>SUM(G130:G143)</f>
        <v>0</v>
      </c>
      <c r="H144" s="98">
        <f t="shared" si="7"/>
        <v>102016.09999999999</v>
      </c>
    </row>
    <row r="145" spans="1:9" ht="12.75" thickTop="1" thickBot="1" x14ac:dyDescent="0.25">
      <c r="A145" s="32" t="s">
        <v>244</v>
      </c>
      <c r="C145" s="68">
        <f>(C115+C128+C144)</f>
        <v>7513708.3099999987</v>
      </c>
      <c r="D145" s="68">
        <f>(D115+D128+D144)</f>
        <v>63900.850000000006</v>
      </c>
      <c r="E145" s="68">
        <f>(E115+E128+E144)</f>
        <v>293112.37</v>
      </c>
      <c r="F145" s="68">
        <f>(F115+F128+F144)</f>
        <v>0</v>
      </c>
      <c r="G145" s="68">
        <f>(G115+G128+G144)</f>
        <v>0</v>
      </c>
      <c r="H145" s="68">
        <f t="shared" si="7"/>
        <v>7870721.5299999984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9"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Plainfield</v>
      </c>
    </row>
    <row r="3" spans="1:4" x14ac:dyDescent="0.2">
      <c r="B3" s="136" t="s">
        <v>1792</v>
      </c>
    </row>
    <row r="4" spans="1:4" x14ac:dyDescent="0.2">
      <c r="B4" t="s">
        <v>61</v>
      </c>
      <c r="C4" s="128">
        <f>IF('DOE25'!F666+'DOE25'!F671=0,0,ROUND('DOE25'!F673,0))</f>
        <v>28055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28055</v>
      </c>
    </row>
    <row r="9" spans="1:4" x14ac:dyDescent="0.2">
      <c r="A9" s="135" t="s">
        <v>94</v>
      </c>
      <c r="B9" s="136" t="s">
        <v>1793</v>
      </c>
      <c r="C9" s="130" t="s">
        <v>720</v>
      </c>
      <c r="D9" s="130" t="s">
        <v>721</v>
      </c>
    </row>
    <row r="10" spans="1:4" x14ac:dyDescent="0.2">
      <c r="A10">
        <v>1100</v>
      </c>
      <c r="B10" t="s">
        <v>702</v>
      </c>
      <c r="C10" s="128">
        <f>ROUND('DOE25'!L198+'DOE25'!L216+'DOE25'!L234+'DOE25'!L277+'DOE25'!L296+'DOE25'!L315,0)</f>
        <v>3486313</v>
      </c>
      <c r="D10" s="131">
        <f>ROUND((C10/$C$28)*100,1)</f>
        <v>45.1</v>
      </c>
    </row>
    <row r="11" spans="1:4" x14ac:dyDescent="0.2">
      <c r="A11">
        <v>1200</v>
      </c>
      <c r="B11" t="s">
        <v>703</v>
      </c>
      <c r="C11" s="128">
        <f>ROUND('DOE25'!L199+'DOE25'!L217+'DOE25'!L235+'DOE25'!L278+'DOE25'!L297+'DOE25'!L316,0)</f>
        <v>1705887</v>
      </c>
      <c r="D11" s="131">
        <f>ROUND((C11/$C$28)*100,1)</f>
        <v>22.1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40283</v>
      </c>
      <c r="D13" s="131">
        <f>ROUND((C13/$C$28)*100,1)</f>
        <v>0.5</v>
      </c>
    </row>
    <row r="14" spans="1:4" x14ac:dyDescent="0.2">
      <c r="D14" s="131"/>
    </row>
    <row r="15" spans="1:4" x14ac:dyDescent="0.2">
      <c r="A15">
        <v>2100</v>
      </c>
      <c r="B15" t="s">
        <v>706</v>
      </c>
      <c r="C15" s="128">
        <f>ROUND('DOE25'!L203+'DOE25'!L221+'DOE25'!L239+'DOE25'!L282+'DOE25'!L301+'DOE25'!L320,0)</f>
        <v>442622</v>
      </c>
      <c r="D15" s="131">
        <f t="shared" ref="D15:D27" si="0">ROUND((C15/$C$28)*100,1)</f>
        <v>5.7</v>
      </c>
    </row>
    <row r="16" spans="1:4" x14ac:dyDescent="0.2">
      <c r="A16">
        <v>2200</v>
      </c>
      <c r="B16" t="s">
        <v>707</v>
      </c>
      <c r="C16" s="128">
        <f>ROUND('DOE25'!L204+'DOE25'!L222+'DOE25'!L240+'DOE25'!L283+'DOE25'!L302+'DOE25'!L321,0)</f>
        <v>245319</v>
      </c>
      <c r="D16" s="131">
        <f t="shared" si="0"/>
        <v>3.2</v>
      </c>
    </row>
    <row r="17" spans="1:4" x14ac:dyDescent="0.2">
      <c r="A17" s="132" t="s">
        <v>723</v>
      </c>
      <c r="B17" t="s">
        <v>738</v>
      </c>
      <c r="C17" s="128">
        <f>ROUND('DOE25'!L205+'DOE25'!L210+'DOE25'!L223+'DOE25'!L228+'DOE25'!L241+'DOE25'!L246+'DOE25'!L284+'DOE25'!L289+'DOE25'!L303+'DOE25'!L308+'DOE25'!L322+'DOE25'!L327,0)</f>
        <v>656457</v>
      </c>
      <c r="D17" s="131">
        <f t="shared" si="0"/>
        <v>8.5</v>
      </c>
    </row>
    <row r="18" spans="1:4" x14ac:dyDescent="0.2">
      <c r="A18">
        <v>2400</v>
      </c>
      <c r="B18" t="s">
        <v>711</v>
      </c>
      <c r="C18" s="128">
        <f>ROUND('DOE25'!L206+'DOE25'!L224+'DOE25'!L242+'DOE25'!L285+'DOE25'!L304+'DOE25'!L323,0)</f>
        <v>386445</v>
      </c>
      <c r="D18" s="131">
        <f t="shared" si="0"/>
        <v>5</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446486</v>
      </c>
      <c r="D20" s="131">
        <f t="shared" si="0"/>
        <v>5.8</v>
      </c>
    </row>
    <row r="21" spans="1:4" x14ac:dyDescent="0.2">
      <c r="A21">
        <v>2700</v>
      </c>
      <c r="B21" t="s">
        <v>710</v>
      </c>
      <c r="C21" s="128">
        <f>ROUND('DOE25'!L209+'DOE25'!L227+'DOE25'!L245+'DOE25'!L288+'DOE25'!L307+'DOE25'!L326,0)</f>
        <v>294992</v>
      </c>
      <c r="D21" s="131">
        <f t="shared" si="0"/>
        <v>3.8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27873.699999999997</v>
      </c>
      <c r="D27" s="131">
        <f t="shared" si="0"/>
        <v>0.4</v>
      </c>
    </row>
    <row r="28" spans="1:4" x14ac:dyDescent="0.2">
      <c r="B28" s="135" t="s">
        <v>719</v>
      </c>
      <c r="C28" s="129">
        <f>SUM(C10:C27)</f>
        <v>7732677.7000000002</v>
      </c>
      <c r="D28" s="133">
        <f>ROUND(SUM(D10:D27),0)</f>
        <v>100</v>
      </c>
    </row>
    <row r="29" spans="1:4" x14ac:dyDescent="0.2">
      <c r="A29">
        <v>4000</v>
      </c>
      <c r="B29" t="s">
        <v>724</v>
      </c>
      <c r="C29" s="128">
        <f>ROUND('DOE25'!L256+'DOE25'!L337+'DOE25'!L375+'DOE25'!L376+'DOE25'!L377+'DOE25'!L378+'DOE25'!L379+'DOE25'!L380+'DOE25'!L381,0)</f>
        <v>55836</v>
      </c>
    </row>
    <row r="30" spans="1:4" x14ac:dyDescent="0.2">
      <c r="B30" s="135" t="s">
        <v>725</v>
      </c>
      <c r="C30" s="129">
        <f>SUM(C28:C29)</f>
        <v>7788513.7000000002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5126496</v>
      </c>
      <c r="D35" s="131">
        <f t="shared" ref="D35:D40" si="1">ROUND((C35/$C$41)*100,1)</f>
        <v>66.900000000000006</v>
      </c>
    </row>
    <row r="36" spans="1:4" x14ac:dyDescent="0.2">
      <c r="B36" s="71" t="s">
        <v>739</v>
      </c>
      <c r="C36" s="128">
        <f>SUM('DOE25'!F112:J112)-SUM('DOE25'!G97:G110)+('DOE25'!F175+'DOE25'!F176+'DOE25'!I175+'DOE25'!I176)-C35</f>
        <v>431661.62999999989</v>
      </c>
      <c r="D36" s="131">
        <f t="shared" si="1"/>
        <v>5.6</v>
      </c>
    </row>
    <row r="37" spans="1:4" x14ac:dyDescent="0.2">
      <c r="A37" s="132" t="s">
        <v>831</v>
      </c>
      <c r="B37" s="71" t="s">
        <v>728</v>
      </c>
      <c r="C37" s="128">
        <f>ROUND('DOE25'!F117+'DOE25'!F118,0)</f>
        <v>1369418</v>
      </c>
      <c r="D37" s="131">
        <f t="shared" si="1"/>
        <v>17.899999999999999</v>
      </c>
    </row>
    <row r="38" spans="1:4" x14ac:dyDescent="0.2">
      <c r="A38" s="132" t="s">
        <v>734</v>
      </c>
      <c r="B38" s="71" t="s">
        <v>729</v>
      </c>
      <c r="C38" s="128">
        <f>ROUND(SUM('DOE25'!F140:J140)-SUM('DOE25'!F117:F119),0)</f>
        <v>413840</v>
      </c>
      <c r="D38" s="131">
        <f t="shared" si="1"/>
        <v>5.4</v>
      </c>
    </row>
    <row r="39" spans="1:4" x14ac:dyDescent="0.2">
      <c r="A39">
        <v>4000</v>
      </c>
      <c r="B39" s="71" t="s">
        <v>730</v>
      </c>
      <c r="C39" s="128">
        <f>ROUND('DOE25'!F170+'DOE25'!G170+'DOE25'!H170+'DOE25'!I170,0)</f>
        <v>319427</v>
      </c>
      <c r="D39" s="131">
        <f t="shared" si="1"/>
        <v>4.2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7660842.6299999999</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7" t="s">
        <v>763</v>
      </c>
      <c r="B1" s="338"/>
      <c r="C1" s="338"/>
      <c r="D1" s="338"/>
      <c r="E1" s="338"/>
      <c r="F1" s="338"/>
      <c r="G1" s="338"/>
      <c r="H1" s="338"/>
      <c r="I1" s="338"/>
      <c r="J1" s="154"/>
      <c r="K1" s="154"/>
      <c r="L1" s="154"/>
      <c r="M1" s="155"/>
    </row>
    <row r="2" spans="1:13" ht="12.75" x14ac:dyDescent="0.2">
      <c r="A2" s="342" t="s">
        <v>760</v>
      </c>
      <c r="B2" s="343"/>
      <c r="C2" s="343"/>
      <c r="D2" s="343"/>
      <c r="E2" s="343"/>
      <c r="F2" s="340" t="str">
        <f>'DOE25'!A2</f>
        <v>Plainfield</v>
      </c>
      <c r="G2" s="341"/>
      <c r="H2" s="341"/>
      <c r="I2" s="341"/>
      <c r="M2" s="156"/>
    </row>
    <row r="3" spans="1:13" x14ac:dyDescent="0.2">
      <c r="A3" s="157" t="s">
        <v>761</v>
      </c>
      <c r="B3" s="130" t="s">
        <v>762</v>
      </c>
      <c r="C3" s="326" t="s">
        <v>764</v>
      </c>
      <c r="D3" s="326"/>
      <c r="E3" s="326"/>
      <c r="F3" s="326"/>
      <c r="G3" s="326"/>
      <c r="H3" s="326"/>
      <c r="I3" s="326"/>
      <c r="J3" s="326"/>
      <c r="K3" s="326"/>
      <c r="L3" s="326"/>
      <c r="M3" s="339"/>
    </row>
    <row r="4" spans="1:13" x14ac:dyDescent="0.2">
      <c r="A4" s="158"/>
      <c r="B4" s="149"/>
      <c r="C4" s="334"/>
      <c r="D4" s="334"/>
      <c r="E4" s="334"/>
      <c r="F4" s="334"/>
      <c r="G4" s="334"/>
      <c r="H4" s="334"/>
      <c r="I4" s="334"/>
      <c r="J4" s="334"/>
      <c r="K4" s="334"/>
      <c r="L4" s="334"/>
      <c r="M4" s="336"/>
    </row>
    <row r="5" spans="1:13" x14ac:dyDescent="0.2">
      <c r="A5" s="158"/>
      <c r="B5" s="149"/>
      <c r="C5" s="334"/>
      <c r="D5" s="334"/>
      <c r="E5" s="334"/>
      <c r="F5" s="334"/>
      <c r="G5" s="334"/>
      <c r="H5" s="334"/>
      <c r="I5" s="334"/>
      <c r="J5" s="334"/>
      <c r="K5" s="334"/>
      <c r="L5" s="334"/>
      <c r="M5" s="336"/>
    </row>
    <row r="6" spans="1:13" x14ac:dyDescent="0.2">
      <c r="A6" s="158"/>
      <c r="B6" s="149"/>
      <c r="C6" s="334"/>
      <c r="D6" s="334"/>
      <c r="E6" s="334"/>
      <c r="F6" s="334"/>
      <c r="G6" s="334"/>
      <c r="H6" s="334"/>
      <c r="I6" s="334"/>
      <c r="J6" s="334"/>
      <c r="K6" s="334"/>
      <c r="L6" s="334"/>
      <c r="M6" s="336"/>
    </row>
    <row r="7" spans="1:13" x14ac:dyDescent="0.2">
      <c r="A7" s="158"/>
      <c r="B7" s="149"/>
      <c r="C7" s="334"/>
      <c r="D7" s="334"/>
      <c r="E7" s="334"/>
      <c r="F7" s="334"/>
      <c r="G7" s="334"/>
      <c r="H7" s="334"/>
      <c r="I7" s="334"/>
      <c r="J7" s="334"/>
      <c r="K7" s="334"/>
      <c r="L7" s="334"/>
      <c r="M7" s="336"/>
    </row>
    <row r="8" spans="1:13" x14ac:dyDescent="0.2">
      <c r="A8" s="158"/>
      <c r="B8" s="149"/>
      <c r="C8" s="334"/>
      <c r="D8" s="334"/>
      <c r="E8" s="334"/>
      <c r="F8" s="334"/>
      <c r="G8" s="334"/>
      <c r="H8" s="334"/>
      <c r="I8" s="334"/>
      <c r="J8" s="334"/>
      <c r="K8" s="334"/>
      <c r="L8" s="334"/>
      <c r="M8" s="336"/>
    </row>
    <row r="9" spans="1:13" x14ac:dyDescent="0.2">
      <c r="A9" s="158"/>
      <c r="B9" s="149"/>
      <c r="C9" s="334"/>
      <c r="D9" s="334"/>
      <c r="E9" s="334"/>
      <c r="F9" s="334"/>
      <c r="G9" s="334"/>
      <c r="H9" s="334"/>
      <c r="I9" s="334"/>
      <c r="J9" s="334"/>
      <c r="K9" s="334"/>
      <c r="L9" s="334"/>
      <c r="M9" s="336"/>
    </row>
    <row r="10" spans="1:13" x14ac:dyDescent="0.2">
      <c r="A10" s="158"/>
      <c r="B10" s="149"/>
      <c r="C10" s="334"/>
      <c r="D10" s="334"/>
      <c r="E10" s="334"/>
      <c r="F10" s="334"/>
      <c r="G10" s="334"/>
      <c r="H10" s="334"/>
      <c r="I10" s="334"/>
      <c r="J10" s="334"/>
      <c r="K10" s="334"/>
      <c r="L10" s="334"/>
      <c r="M10" s="336"/>
    </row>
    <row r="11" spans="1:13" x14ac:dyDescent="0.2">
      <c r="A11" s="158"/>
      <c r="B11" s="149"/>
      <c r="C11" s="334"/>
      <c r="D11" s="334"/>
      <c r="E11" s="334"/>
      <c r="F11" s="334"/>
      <c r="G11" s="334"/>
      <c r="H11" s="334"/>
      <c r="I11" s="334"/>
      <c r="J11" s="334"/>
      <c r="K11" s="334"/>
      <c r="L11" s="334"/>
      <c r="M11" s="336"/>
    </row>
    <row r="12" spans="1:13" x14ac:dyDescent="0.2">
      <c r="A12" s="158"/>
      <c r="B12" s="149"/>
      <c r="C12" s="334"/>
      <c r="D12" s="334"/>
      <c r="E12" s="334"/>
      <c r="F12" s="334"/>
      <c r="G12" s="334"/>
      <c r="H12" s="334"/>
      <c r="I12" s="334"/>
      <c r="J12" s="334"/>
      <c r="K12" s="334"/>
      <c r="L12" s="334"/>
      <c r="M12" s="336"/>
    </row>
    <row r="13" spans="1:13" x14ac:dyDescent="0.2">
      <c r="A13" s="158"/>
      <c r="B13" s="149"/>
      <c r="C13" s="334"/>
      <c r="D13" s="334"/>
      <c r="E13" s="334"/>
      <c r="F13" s="334"/>
      <c r="G13" s="334"/>
      <c r="H13" s="334"/>
      <c r="I13" s="334"/>
      <c r="J13" s="334"/>
      <c r="K13" s="334"/>
      <c r="L13" s="334"/>
      <c r="M13" s="336"/>
    </row>
    <row r="14" spans="1:13" x14ac:dyDescent="0.2">
      <c r="A14" s="158"/>
      <c r="B14" s="149"/>
      <c r="C14" s="334"/>
      <c r="D14" s="334"/>
      <c r="E14" s="334"/>
      <c r="F14" s="334"/>
      <c r="G14" s="334"/>
      <c r="H14" s="334"/>
      <c r="I14" s="334"/>
      <c r="J14" s="334"/>
      <c r="K14" s="334"/>
      <c r="L14" s="334"/>
      <c r="M14" s="336"/>
    </row>
    <row r="15" spans="1:13" x14ac:dyDescent="0.2">
      <c r="A15" s="158"/>
      <c r="B15" s="149"/>
      <c r="C15" s="334"/>
      <c r="D15" s="334"/>
      <c r="E15" s="334"/>
      <c r="F15" s="334"/>
      <c r="G15" s="334"/>
      <c r="H15" s="334"/>
      <c r="I15" s="334"/>
      <c r="J15" s="334"/>
      <c r="K15" s="334"/>
      <c r="L15" s="334"/>
      <c r="M15" s="336"/>
    </row>
    <row r="16" spans="1:13" x14ac:dyDescent="0.2">
      <c r="A16" s="158"/>
      <c r="B16" s="149"/>
      <c r="C16" s="334"/>
      <c r="D16" s="334"/>
      <c r="E16" s="334"/>
      <c r="F16" s="334"/>
      <c r="G16" s="334"/>
      <c r="H16" s="334"/>
      <c r="I16" s="334"/>
      <c r="J16" s="334"/>
      <c r="K16" s="334"/>
      <c r="L16" s="334"/>
      <c r="M16" s="336"/>
    </row>
    <row r="17" spans="1:256" x14ac:dyDescent="0.2">
      <c r="A17" s="158"/>
      <c r="B17" s="149"/>
      <c r="C17" s="334"/>
      <c r="D17" s="334"/>
      <c r="E17" s="334"/>
      <c r="F17" s="334"/>
      <c r="G17" s="334"/>
      <c r="H17" s="334"/>
      <c r="I17" s="334"/>
      <c r="J17" s="334"/>
      <c r="K17" s="334"/>
      <c r="L17" s="334"/>
      <c r="M17" s="336"/>
    </row>
    <row r="18" spans="1:256" x14ac:dyDescent="0.2">
      <c r="A18" s="158"/>
      <c r="B18" s="149"/>
      <c r="C18" s="334"/>
      <c r="D18" s="334"/>
      <c r="E18" s="334"/>
      <c r="F18" s="334"/>
      <c r="G18" s="334"/>
      <c r="H18" s="334"/>
      <c r="I18" s="334"/>
      <c r="J18" s="334"/>
      <c r="K18" s="334"/>
      <c r="L18" s="334"/>
      <c r="M18" s="336"/>
    </row>
    <row r="19" spans="1:256" x14ac:dyDescent="0.2">
      <c r="A19" s="158"/>
      <c r="B19" s="149"/>
      <c r="C19" s="334"/>
      <c r="D19" s="334"/>
      <c r="E19" s="334"/>
      <c r="F19" s="334"/>
      <c r="G19" s="334"/>
      <c r="H19" s="334"/>
      <c r="I19" s="334"/>
      <c r="J19" s="334"/>
      <c r="K19" s="334"/>
      <c r="L19" s="334"/>
      <c r="M19" s="336"/>
    </row>
    <row r="20" spans="1:256" x14ac:dyDescent="0.2">
      <c r="A20" s="158"/>
      <c r="B20" s="149"/>
      <c r="C20" s="334"/>
      <c r="D20" s="334"/>
      <c r="E20" s="334"/>
      <c r="F20" s="334"/>
      <c r="G20" s="334"/>
      <c r="H20" s="334"/>
      <c r="I20" s="334"/>
      <c r="J20" s="334"/>
      <c r="K20" s="334"/>
      <c r="L20" s="334"/>
      <c r="M20" s="336"/>
    </row>
    <row r="21" spans="1:256" x14ac:dyDescent="0.2">
      <c r="A21" s="158"/>
      <c r="B21" s="149"/>
      <c r="C21" s="334"/>
      <c r="D21" s="334"/>
      <c r="E21" s="334"/>
      <c r="F21" s="334"/>
      <c r="G21" s="334"/>
      <c r="H21" s="334"/>
      <c r="I21" s="334"/>
      <c r="J21" s="334"/>
      <c r="K21" s="334"/>
      <c r="L21" s="334"/>
      <c r="M21" s="336"/>
    </row>
    <row r="22" spans="1:256" x14ac:dyDescent="0.2">
      <c r="A22" s="158"/>
      <c r="B22" s="149"/>
      <c r="C22" s="334"/>
      <c r="D22" s="334"/>
      <c r="E22" s="334"/>
      <c r="F22" s="334"/>
      <c r="G22" s="334"/>
      <c r="H22" s="334"/>
      <c r="I22" s="334"/>
      <c r="J22" s="334"/>
      <c r="K22" s="334"/>
      <c r="L22" s="334"/>
      <c r="M22" s="336"/>
    </row>
    <row r="23" spans="1:256" x14ac:dyDescent="0.2">
      <c r="A23" s="158"/>
      <c r="B23" s="149"/>
      <c r="C23" s="334"/>
      <c r="D23" s="334"/>
      <c r="E23" s="334"/>
      <c r="F23" s="334"/>
      <c r="G23" s="334"/>
      <c r="H23" s="334"/>
      <c r="I23" s="334"/>
      <c r="J23" s="334"/>
      <c r="K23" s="334"/>
      <c r="L23" s="334"/>
      <c r="M23" s="336"/>
    </row>
    <row r="24" spans="1:256" x14ac:dyDescent="0.2">
      <c r="A24" s="158"/>
      <c r="B24" s="149"/>
      <c r="C24" s="334"/>
      <c r="D24" s="334"/>
      <c r="E24" s="334"/>
      <c r="F24" s="334"/>
      <c r="G24" s="334"/>
      <c r="H24" s="334"/>
      <c r="I24" s="334"/>
      <c r="J24" s="334"/>
      <c r="K24" s="334"/>
      <c r="L24" s="334"/>
      <c r="M24" s="336"/>
    </row>
    <row r="25" spans="1:256" x14ac:dyDescent="0.2">
      <c r="A25" s="158"/>
      <c r="B25" s="149"/>
      <c r="C25" s="334"/>
      <c r="D25" s="334"/>
      <c r="E25" s="334"/>
      <c r="F25" s="334"/>
      <c r="G25" s="334"/>
      <c r="H25" s="334"/>
      <c r="I25" s="334"/>
      <c r="J25" s="334"/>
      <c r="K25" s="334"/>
      <c r="L25" s="334"/>
      <c r="M25" s="336"/>
    </row>
    <row r="26" spans="1:256" x14ac:dyDescent="0.2">
      <c r="A26" s="158"/>
      <c r="B26" s="149"/>
      <c r="C26" s="334"/>
      <c r="D26" s="334"/>
      <c r="E26" s="334"/>
      <c r="F26" s="334"/>
      <c r="G26" s="334"/>
      <c r="H26" s="334"/>
      <c r="I26" s="334"/>
      <c r="J26" s="334"/>
      <c r="K26" s="334"/>
      <c r="L26" s="334"/>
      <c r="M26" s="336"/>
    </row>
    <row r="27" spans="1:256" x14ac:dyDescent="0.2">
      <c r="A27" s="158"/>
      <c r="B27" s="149"/>
      <c r="C27" s="334"/>
      <c r="D27" s="334"/>
      <c r="E27" s="334"/>
      <c r="F27" s="334"/>
      <c r="G27" s="334"/>
      <c r="H27" s="334"/>
      <c r="I27" s="334"/>
      <c r="J27" s="334"/>
      <c r="K27" s="334"/>
      <c r="L27" s="334"/>
      <c r="M27" s="336"/>
    </row>
    <row r="28" spans="1:256" x14ac:dyDescent="0.2">
      <c r="A28" s="158"/>
      <c r="B28" s="149"/>
      <c r="C28" s="334"/>
      <c r="D28" s="334"/>
      <c r="E28" s="334"/>
      <c r="F28" s="334"/>
      <c r="G28" s="334"/>
      <c r="H28" s="334"/>
      <c r="I28" s="334"/>
      <c r="J28" s="334"/>
      <c r="K28" s="334"/>
      <c r="L28" s="334"/>
      <c r="M28" s="336"/>
    </row>
    <row r="29" spans="1:256" x14ac:dyDescent="0.2">
      <c r="A29" s="158"/>
      <c r="B29" s="149"/>
      <c r="C29" s="334"/>
      <c r="D29" s="334"/>
      <c r="E29" s="334"/>
      <c r="F29" s="334"/>
      <c r="G29" s="334"/>
      <c r="H29" s="334"/>
      <c r="I29" s="334"/>
      <c r="J29" s="334"/>
      <c r="K29" s="334"/>
      <c r="L29" s="334"/>
      <c r="M29" s="336"/>
      <c r="N29" s="152"/>
      <c r="O29" s="152"/>
      <c r="P29" s="335"/>
      <c r="Q29" s="335"/>
      <c r="R29" s="335"/>
      <c r="S29" s="335"/>
      <c r="T29" s="335"/>
      <c r="U29" s="335"/>
      <c r="V29" s="335"/>
      <c r="W29" s="335"/>
      <c r="X29" s="335"/>
      <c r="Y29" s="335"/>
      <c r="Z29" s="335"/>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6"/>
      <c r="N30" s="152"/>
      <c r="O30" s="152"/>
      <c r="P30" s="335"/>
      <c r="Q30" s="335"/>
      <c r="R30" s="335"/>
      <c r="S30" s="335"/>
      <c r="T30" s="335"/>
      <c r="U30" s="335"/>
      <c r="V30" s="335"/>
      <c r="W30" s="335"/>
      <c r="X30" s="335"/>
      <c r="Y30" s="335"/>
      <c r="Z30" s="335"/>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6"/>
      <c r="N31" s="152"/>
      <c r="O31" s="152"/>
      <c r="P31" s="335"/>
      <c r="Q31" s="335"/>
      <c r="R31" s="335"/>
      <c r="S31" s="335"/>
      <c r="T31" s="335"/>
      <c r="U31" s="335"/>
      <c r="V31" s="335"/>
      <c r="W31" s="335"/>
      <c r="X31" s="335"/>
      <c r="Y31" s="335"/>
      <c r="Z31" s="335"/>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6"/>
      <c r="N32" s="152"/>
      <c r="O32" s="152"/>
      <c r="P32" s="335"/>
      <c r="Q32" s="335"/>
      <c r="R32" s="335"/>
      <c r="S32" s="335"/>
      <c r="T32" s="335"/>
      <c r="U32" s="335"/>
      <c r="V32" s="335"/>
      <c r="W32" s="335"/>
      <c r="X32" s="335"/>
      <c r="Y32" s="335"/>
      <c r="Z32" s="344"/>
      <c r="AA32" s="158"/>
      <c r="AB32" s="149"/>
      <c r="AC32" s="334"/>
      <c r="AD32" s="334"/>
      <c r="AE32" s="334"/>
      <c r="AF32" s="334"/>
      <c r="AG32" s="334"/>
      <c r="AH32" s="334"/>
      <c r="AI32" s="334"/>
      <c r="AJ32" s="334"/>
      <c r="AK32" s="334"/>
      <c r="AL32" s="334"/>
      <c r="AM32" s="336"/>
      <c r="AN32" s="158"/>
      <c r="AO32" s="149"/>
      <c r="AP32" s="334"/>
      <c r="AQ32" s="334"/>
      <c r="AR32" s="334"/>
      <c r="AS32" s="334"/>
      <c r="AT32" s="334"/>
      <c r="AU32" s="334"/>
      <c r="AV32" s="334"/>
      <c r="AW32" s="334"/>
      <c r="AX32" s="334"/>
      <c r="AY32" s="334"/>
      <c r="AZ32" s="336"/>
      <c r="BA32" s="158"/>
      <c r="BB32" s="149"/>
      <c r="BC32" s="334"/>
      <c r="BD32" s="334"/>
      <c r="BE32" s="334"/>
      <c r="BF32" s="334"/>
      <c r="BG32" s="334"/>
      <c r="BH32" s="334"/>
      <c r="BI32" s="334"/>
      <c r="BJ32" s="334"/>
      <c r="BK32" s="334"/>
      <c r="BL32" s="334"/>
      <c r="BM32" s="336"/>
      <c r="BN32" s="158"/>
      <c r="BO32" s="149"/>
      <c r="BP32" s="334"/>
      <c r="BQ32" s="334"/>
      <c r="BR32" s="334"/>
      <c r="BS32" s="334"/>
      <c r="BT32" s="334"/>
      <c r="BU32" s="334"/>
      <c r="BV32" s="334"/>
      <c r="BW32" s="334"/>
      <c r="BX32" s="334"/>
      <c r="BY32" s="334"/>
      <c r="BZ32" s="336"/>
      <c r="CA32" s="158"/>
      <c r="CB32" s="149"/>
      <c r="CC32" s="334"/>
      <c r="CD32" s="334"/>
      <c r="CE32" s="334"/>
      <c r="CF32" s="334"/>
      <c r="CG32" s="334"/>
      <c r="CH32" s="334"/>
      <c r="CI32" s="334"/>
      <c r="CJ32" s="334"/>
      <c r="CK32" s="334"/>
      <c r="CL32" s="334"/>
      <c r="CM32" s="336"/>
      <c r="CN32" s="158"/>
      <c r="CO32" s="149"/>
      <c r="CP32" s="334"/>
      <c r="CQ32" s="334"/>
      <c r="CR32" s="334"/>
      <c r="CS32" s="334"/>
      <c r="CT32" s="334"/>
      <c r="CU32" s="334"/>
      <c r="CV32" s="334"/>
      <c r="CW32" s="334"/>
      <c r="CX32" s="334"/>
      <c r="CY32" s="334"/>
      <c r="CZ32" s="336"/>
      <c r="DA32" s="158"/>
      <c r="DB32" s="149"/>
      <c r="DC32" s="334"/>
      <c r="DD32" s="334"/>
      <c r="DE32" s="334"/>
      <c r="DF32" s="334"/>
      <c r="DG32" s="334"/>
      <c r="DH32" s="334"/>
      <c r="DI32" s="334"/>
      <c r="DJ32" s="334"/>
      <c r="DK32" s="334"/>
      <c r="DL32" s="334"/>
      <c r="DM32" s="336"/>
      <c r="DN32" s="158"/>
      <c r="DO32" s="149"/>
      <c r="DP32" s="334"/>
      <c r="DQ32" s="334"/>
      <c r="DR32" s="334"/>
      <c r="DS32" s="334"/>
      <c r="DT32" s="334"/>
      <c r="DU32" s="334"/>
      <c r="DV32" s="334"/>
      <c r="DW32" s="334"/>
      <c r="DX32" s="334"/>
      <c r="DY32" s="334"/>
      <c r="DZ32" s="336"/>
      <c r="EA32" s="158"/>
      <c r="EB32" s="149"/>
      <c r="EC32" s="334"/>
      <c r="ED32" s="334"/>
      <c r="EE32" s="334"/>
      <c r="EF32" s="334"/>
      <c r="EG32" s="334"/>
      <c r="EH32" s="334"/>
      <c r="EI32" s="334"/>
      <c r="EJ32" s="334"/>
      <c r="EK32" s="334"/>
      <c r="EL32" s="334"/>
      <c r="EM32" s="336"/>
      <c r="EN32" s="158"/>
      <c r="EO32" s="149"/>
      <c r="EP32" s="334"/>
      <c r="EQ32" s="334"/>
      <c r="ER32" s="334"/>
      <c r="ES32" s="334"/>
      <c r="ET32" s="334"/>
      <c r="EU32" s="334"/>
      <c r="EV32" s="334"/>
      <c r="EW32" s="334"/>
      <c r="EX32" s="334"/>
      <c r="EY32" s="334"/>
      <c r="EZ32" s="336"/>
      <c r="FA32" s="158"/>
      <c r="FB32" s="149"/>
      <c r="FC32" s="334"/>
      <c r="FD32" s="334"/>
      <c r="FE32" s="334"/>
      <c r="FF32" s="334"/>
      <c r="FG32" s="334"/>
      <c r="FH32" s="334"/>
      <c r="FI32" s="334"/>
      <c r="FJ32" s="334"/>
      <c r="FK32" s="334"/>
      <c r="FL32" s="334"/>
      <c r="FM32" s="336"/>
      <c r="FN32" s="158"/>
      <c r="FO32" s="149"/>
      <c r="FP32" s="334"/>
      <c r="FQ32" s="334"/>
      <c r="FR32" s="334"/>
      <c r="FS32" s="334"/>
      <c r="FT32" s="334"/>
      <c r="FU32" s="334"/>
      <c r="FV32" s="334"/>
      <c r="FW32" s="334"/>
      <c r="FX32" s="334"/>
      <c r="FY32" s="334"/>
      <c r="FZ32" s="336"/>
      <c r="GA32" s="158"/>
      <c r="GB32" s="149"/>
      <c r="GC32" s="334"/>
      <c r="GD32" s="334"/>
      <c r="GE32" s="334"/>
      <c r="GF32" s="334"/>
      <c r="GG32" s="334"/>
      <c r="GH32" s="334"/>
      <c r="GI32" s="334"/>
      <c r="GJ32" s="334"/>
      <c r="GK32" s="334"/>
      <c r="GL32" s="334"/>
      <c r="GM32" s="336"/>
      <c r="GN32" s="158"/>
      <c r="GO32" s="149"/>
      <c r="GP32" s="334"/>
      <c r="GQ32" s="334"/>
      <c r="GR32" s="334"/>
      <c r="GS32" s="334"/>
      <c r="GT32" s="334"/>
      <c r="GU32" s="334"/>
      <c r="GV32" s="334"/>
      <c r="GW32" s="334"/>
      <c r="GX32" s="334"/>
      <c r="GY32" s="334"/>
      <c r="GZ32" s="336"/>
      <c r="HA32" s="158"/>
      <c r="HB32" s="149"/>
      <c r="HC32" s="334"/>
      <c r="HD32" s="334"/>
      <c r="HE32" s="334"/>
      <c r="HF32" s="334"/>
      <c r="HG32" s="334"/>
      <c r="HH32" s="334"/>
      <c r="HI32" s="334"/>
      <c r="HJ32" s="334"/>
      <c r="HK32" s="334"/>
      <c r="HL32" s="334"/>
      <c r="HM32" s="336"/>
      <c r="HN32" s="158"/>
      <c r="HO32" s="149"/>
      <c r="HP32" s="334"/>
      <c r="HQ32" s="334"/>
      <c r="HR32" s="334"/>
      <c r="HS32" s="334"/>
      <c r="HT32" s="334"/>
      <c r="HU32" s="334"/>
      <c r="HV32" s="334"/>
      <c r="HW32" s="334"/>
      <c r="HX32" s="334"/>
      <c r="HY32" s="334"/>
      <c r="HZ32" s="336"/>
      <c r="IA32" s="158"/>
      <c r="IB32" s="149"/>
      <c r="IC32" s="334"/>
      <c r="ID32" s="334"/>
      <c r="IE32" s="334"/>
      <c r="IF32" s="334"/>
      <c r="IG32" s="334"/>
      <c r="IH32" s="334"/>
      <c r="II32" s="334"/>
      <c r="IJ32" s="334"/>
      <c r="IK32" s="334"/>
      <c r="IL32" s="334"/>
      <c r="IM32" s="336"/>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6"/>
      <c r="N38" s="152"/>
      <c r="O38" s="152"/>
      <c r="P38" s="335"/>
      <c r="Q38" s="335"/>
      <c r="R38" s="335"/>
      <c r="S38" s="335"/>
      <c r="T38" s="335"/>
      <c r="U38" s="335"/>
      <c r="V38" s="335"/>
      <c r="W38" s="335"/>
      <c r="X38" s="335"/>
      <c r="Y38" s="335"/>
      <c r="Z38" s="335"/>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6"/>
      <c r="N39" s="152"/>
      <c r="O39" s="152"/>
      <c r="P39" s="335"/>
      <c r="Q39" s="335"/>
      <c r="R39" s="335"/>
      <c r="S39" s="335"/>
      <c r="T39" s="335"/>
      <c r="U39" s="335"/>
      <c r="V39" s="335"/>
      <c r="W39" s="335"/>
      <c r="X39" s="335"/>
      <c r="Y39" s="335"/>
      <c r="Z39" s="335"/>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6"/>
      <c r="N40" s="152"/>
      <c r="O40" s="152"/>
      <c r="P40" s="335"/>
      <c r="Q40" s="335"/>
      <c r="R40" s="335"/>
      <c r="S40" s="335"/>
      <c r="T40" s="335"/>
      <c r="U40" s="335"/>
      <c r="V40" s="335"/>
      <c r="W40" s="335"/>
      <c r="X40" s="335"/>
      <c r="Y40" s="335"/>
      <c r="Z40" s="335"/>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6"/>
    </row>
    <row r="51" spans="1:256" x14ac:dyDescent="0.2">
      <c r="A51" s="158"/>
      <c r="B51" s="149"/>
      <c r="C51" s="334"/>
      <c r="D51" s="334"/>
      <c r="E51" s="334"/>
      <c r="F51" s="334"/>
      <c r="G51" s="334"/>
      <c r="H51" s="334"/>
      <c r="I51" s="334"/>
      <c r="J51" s="334"/>
      <c r="K51" s="334"/>
      <c r="L51" s="334"/>
      <c r="M51" s="336"/>
    </row>
    <row r="52" spans="1:256" x14ac:dyDescent="0.2">
      <c r="A52" s="158"/>
      <c r="B52" s="149"/>
      <c r="C52" s="334"/>
      <c r="D52" s="334"/>
      <c r="E52" s="334"/>
      <c r="F52" s="334"/>
      <c r="G52" s="334"/>
      <c r="H52" s="334"/>
      <c r="I52" s="334"/>
      <c r="J52" s="334"/>
      <c r="K52" s="334"/>
      <c r="L52" s="334"/>
      <c r="M52" s="336"/>
    </row>
    <row r="53" spans="1:256" x14ac:dyDescent="0.2">
      <c r="A53" s="158"/>
      <c r="B53" s="149"/>
      <c r="C53" s="334"/>
      <c r="D53" s="334"/>
      <c r="E53" s="334"/>
      <c r="F53" s="334"/>
      <c r="G53" s="334"/>
      <c r="H53" s="334"/>
      <c r="I53" s="334"/>
      <c r="J53" s="334"/>
      <c r="K53" s="334"/>
      <c r="L53" s="334"/>
      <c r="M53" s="336"/>
    </row>
    <row r="54" spans="1:256" x14ac:dyDescent="0.2">
      <c r="A54" s="158"/>
      <c r="B54" s="149"/>
      <c r="C54" s="334"/>
      <c r="D54" s="334"/>
      <c r="E54" s="334"/>
      <c r="F54" s="334"/>
      <c r="G54" s="334"/>
      <c r="H54" s="334"/>
      <c r="I54" s="334"/>
      <c r="J54" s="334"/>
      <c r="K54" s="334"/>
      <c r="L54" s="334"/>
      <c r="M54" s="336"/>
    </row>
    <row r="55" spans="1:256" x14ac:dyDescent="0.2">
      <c r="A55" s="158"/>
      <c r="B55" s="149"/>
      <c r="C55" s="334"/>
      <c r="D55" s="334"/>
      <c r="E55" s="334"/>
      <c r="F55" s="334"/>
      <c r="G55" s="334"/>
      <c r="H55" s="334"/>
      <c r="I55" s="334"/>
      <c r="J55" s="334"/>
      <c r="K55" s="334"/>
      <c r="L55" s="334"/>
      <c r="M55" s="336"/>
    </row>
    <row r="56" spans="1:256" x14ac:dyDescent="0.2">
      <c r="A56" s="158"/>
      <c r="B56" s="149"/>
      <c r="C56" s="334"/>
      <c r="D56" s="334"/>
      <c r="E56" s="334"/>
      <c r="F56" s="334"/>
      <c r="G56" s="334"/>
      <c r="H56" s="334"/>
      <c r="I56" s="334"/>
      <c r="J56" s="334"/>
      <c r="K56" s="334"/>
      <c r="L56" s="334"/>
      <c r="M56" s="336"/>
    </row>
    <row r="57" spans="1:256" x14ac:dyDescent="0.2">
      <c r="A57" s="158"/>
      <c r="B57" s="149"/>
      <c r="C57" s="334"/>
      <c r="D57" s="334"/>
      <c r="E57" s="334"/>
      <c r="F57" s="334"/>
      <c r="G57" s="334"/>
      <c r="H57" s="334"/>
      <c r="I57" s="334"/>
      <c r="J57" s="334"/>
      <c r="K57" s="334"/>
      <c r="L57" s="334"/>
      <c r="M57" s="336"/>
    </row>
    <row r="58" spans="1:256" x14ac:dyDescent="0.2">
      <c r="A58" s="158"/>
      <c r="B58" s="149"/>
      <c r="C58" s="334"/>
      <c r="D58" s="334"/>
      <c r="E58" s="334"/>
      <c r="F58" s="334"/>
      <c r="G58" s="334"/>
      <c r="H58" s="334"/>
      <c r="I58" s="334"/>
      <c r="J58" s="334"/>
      <c r="K58" s="334"/>
      <c r="L58" s="334"/>
      <c r="M58" s="336"/>
    </row>
    <row r="59" spans="1:256" x14ac:dyDescent="0.2">
      <c r="A59" s="158"/>
      <c r="B59" s="149"/>
      <c r="C59" s="334"/>
      <c r="D59" s="334"/>
      <c r="E59" s="334"/>
      <c r="F59" s="334"/>
      <c r="G59" s="334"/>
      <c r="H59" s="334"/>
      <c r="I59" s="334"/>
      <c r="J59" s="334"/>
      <c r="K59" s="334"/>
      <c r="L59" s="334"/>
      <c r="M59" s="336"/>
    </row>
    <row r="60" spans="1:256" x14ac:dyDescent="0.2">
      <c r="A60" s="158"/>
      <c r="B60" s="149"/>
      <c r="C60" s="334"/>
      <c r="D60" s="334"/>
      <c r="E60" s="334"/>
      <c r="F60" s="334"/>
      <c r="G60" s="334"/>
      <c r="H60" s="334"/>
      <c r="I60" s="334"/>
      <c r="J60" s="334"/>
      <c r="K60" s="334"/>
      <c r="L60" s="334"/>
      <c r="M60" s="336"/>
    </row>
    <row r="61" spans="1:256" x14ac:dyDescent="0.2">
      <c r="A61" s="158"/>
      <c r="B61" s="149"/>
      <c r="C61" s="334"/>
      <c r="D61" s="334"/>
      <c r="E61" s="334"/>
      <c r="F61" s="334"/>
      <c r="G61" s="334"/>
      <c r="H61" s="334"/>
      <c r="I61" s="334"/>
      <c r="J61" s="334"/>
      <c r="K61" s="334"/>
      <c r="L61" s="334"/>
      <c r="M61" s="336"/>
    </row>
    <row r="62" spans="1:256" x14ac:dyDescent="0.2">
      <c r="A62" s="158"/>
      <c r="B62" s="149"/>
      <c r="C62" s="334"/>
      <c r="D62" s="334"/>
      <c r="E62" s="334"/>
      <c r="F62" s="334"/>
      <c r="G62" s="334"/>
      <c r="H62" s="334"/>
      <c r="I62" s="334"/>
      <c r="J62" s="334"/>
      <c r="K62" s="334"/>
      <c r="L62" s="334"/>
      <c r="M62" s="336"/>
    </row>
    <row r="63" spans="1:256" x14ac:dyDescent="0.2">
      <c r="A63" s="158"/>
      <c r="B63" s="149"/>
      <c r="C63" s="334"/>
      <c r="D63" s="334"/>
      <c r="E63" s="334"/>
      <c r="F63" s="334"/>
      <c r="G63" s="334"/>
      <c r="H63" s="334"/>
      <c r="I63" s="334"/>
      <c r="J63" s="334"/>
      <c r="K63" s="334"/>
      <c r="L63" s="334"/>
      <c r="M63" s="336"/>
    </row>
    <row r="64" spans="1:256" x14ac:dyDescent="0.2">
      <c r="A64" s="158"/>
      <c r="B64" s="149"/>
      <c r="C64" s="334"/>
      <c r="D64" s="334"/>
      <c r="E64" s="334"/>
      <c r="F64" s="334"/>
      <c r="G64" s="334"/>
      <c r="H64" s="334"/>
      <c r="I64" s="334"/>
      <c r="J64" s="334"/>
      <c r="K64" s="334"/>
      <c r="L64" s="334"/>
      <c r="M64" s="336"/>
    </row>
    <row r="65" spans="1:13" x14ac:dyDescent="0.2">
      <c r="A65" s="158"/>
      <c r="B65" s="149"/>
      <c r="C65" s="334"/>
      <c r="D65" s="334"/>
      <c r="E65" s="334"/>
      <c r="F65" s="334"/>
      <c r="G65" s="334"/>
      <c r="H65" s="334"/>
      <c r="I65" s="334"/>
      <c r="J65" s="334"/>
      <c r="K65" s="334"/>
      <c r="L65" s="334"/>
      <c r="M65" s="336"/>
    </row>
    <row r="66" spans="1:13" x14ac:dyDescent="0.2">
      <c r="A66" s="158"/>
      <c r="B66" s="149"/>
      <c r="C66" s="334"/>
      <c r="D66" s="334"/>
      <c r="E66" s="334"/>
      <c r="F66" s="334"/>
      <c r="G66" s="334"/>
      <c r="H66" s="334"/>
      <c r="I66" s="334"/>
      <c r="J66" s="334"/>
      <c r="K66" s="334"/>
      <c r="L66" s="334"/>
      <c r="M66" s="336"/>
    </row>
    <row r="67" spans="1:13" x14ac:dyDescent="0.2">
      <c r="A67" s="158"/>
      <c r="B67" s="149"/>
      <c r="C67" s="334"/>
      <c r="D67" s="334"/>
      <c r="E67" s="334"/>
      <c r="F67" s="334"/>
      <c r="G67" s="334"/>
      <c r="H67" s="334"/>
      <c r="I67" s="334"/>
      <c r="J67" s="334"/>
      <c r="K67" s="334"/>
      <c r="L67" s="334"/>
      <c r="M67" s="336"/>
    </row>
    <row r="68" spans="1:13" x14ac:dyDescent="0.2">
      <c r="A68" s="158"/>
      <c r="B68" s="149"/>
      <c r="C68" s="334"/>
      <c r="D68" s="334"/>
      <c r="E68" s="334"/>
      <c r="F68" s="334"/>
      <c r="G68" s="334"/>
      <c r="H68" s="334"/>
      <c r="I68" s="334"/>
      <c r="J68" s="334"/>
      <c r="K68" s="334"/>
      <c r="L68" s="334"/>
      <c r="M68" s="336"/>
    </row>
    <row r="69" spans="1:13" x14ac:dyDescent="0.2">
      <c r="A69" s="158"/>
      <c r="B69" s="149"/>
      <c r="C69" s="334"/>
      <c r="D69" s="334"/>
      <c r="E69" s="334"/>
      <c r="F69" s="334"/>
      <c r="G69" s="334"/>
      <c r="H69" s="334"/>
      <c r="I69" s="334"/>
      <c r="J69" s="334"/>
      <c r="K69" s="334"/>
      <c r="L69" s="334"/>
      <c r="M69" s="336"/>
    </row>
    <row r="70" spans="1:13" ht="12" thickBot="1" x14ac:dyDescent="0.25">
      <c r="A70" s="159"/>
      <c r="B70" s="160"/>
      <c r="C70" s="345"/>
      <c r="D70" s="345"/>
      <c r="E70" s="345"/>
      <c r="F70" s="345"/>
      <c r="G70" s="345"/>
      <c r="H70" s="345"/>
      <c r="I70" s="345"/>
      <c r="J70" s="345"/>
      <c r="K70" s="345"/>
      <c r="L70" s="345"/>
      <c r="M70" s="346"/>
    </row>
    <row r="71" spans="1:13" ht="12" thickTop="1" x14ac:dyDescent="0.2">
      <c r="A71" s="150"/>
      <c r="B71" s="150"/>
      <c r="C71" s="151"/>
      <c r="D71" s="151"/>
      <c r="E71" s="151"/>
      <c r="F71" s="151"/>
      <c r="G71" s="151"/>
      <c r="H71" s="151"/>
      <c r="I71" s="151"/>
      <c r="J71" s="151"/>
      <c r="K71" s="151"/>
      <c r="L71" s="151"/>
    </row>
    <row r="72" spans="1:13" ht="12.75" x14ac:dyDescent="0.2">
      <c r="A72" s="347" t="s">
        <v>828</v>
      </c>
      <c r="B72" s="347"/>
      <c r="C72" s="347"/>
      <c r="D72" s="347"/>
      <c r="E72" s="347"/>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250</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f>IF('School Level Expenditures'!$B$2=A253,'School Tables'!H253,"")</f>
        <v>250</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2025-01-14T16:48:22Z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8ca930-c773-4612-ba57-7600e9043226_Enabled">
    <vt:lpwstr>true</vt:lpwstr>
  </property>
  <property fmtid="{D5CDD505-2E9C-101B-9397-08002B2CF9AE}" pid="3" name="MSIP_Label_4b8ca930-c773-4612-ba57-7600e9043226_SetDate">
    <vt:lpwstr>2024-08-30T19:23:45Z</vt:lpwstr>
  </property>
  <property fmtid="{D5CDD505-2E9C-101B-9397-08002B2CF9AE}" pid="4" name="MSIP_Label_4b8ca930-c773-4612-ba57-7600e9043226_Method">
    <vt:lpwstr>Standard</vt:lpwstr>
  </property>
  <property fmtid="{D5CDD505-2E9C-101B-9397-08002B2CF9AE}" pid="5" name="MSIP_Label_4b8ca930-c773-4612-ba57-7600e9043226_Name">
    <vt:lpwstr>defa4170-0d19-0005-0004-bc88714345d2</vt:lpwstr>
  </property>
  <property fmtid="{D5CDD505-2E9C-101B-9397-08002B2CF9AE}" pid="6" name="MSIP_Label_4b8ca930-c773-4612-ba57-7600e9043226_SiteId">
    <vt:lpwstr>84475217-b423-48db-b766-ed4bbbea74f1</vt:lpwstr>
  </property>
  <property fmtid="{D5CDD505-2E9C-101B-9397-08002B2CF9AE}" pid="7" name="MSIP_Label_4b8ca930-c773-4612-ba57-7600e9043226_ActionId">
    <vt:lpwstr>a91c5034-bb07-4f80-bc80-83a27fd57560</vt:lpwstr>
  </property>
  <property fmtid="{D5CDD505-2E9C-101B-9397-08002B2CF9AE}" pid="8" name="MSIP_Label_4b8ca930-c773-4612-ba57-7600e9043226_ContentBits">
    <vt:lpwstr>0</vt:lpwstr>
  </property>
</Properties>
</file>