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2CE47425-7B0D-4B50-B2DA-A03AC2E0136B}"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12" l="1"/>
  <c r="B36" i="12"/>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c r="I37" i="14"/>
  <c r="I3" i="14"/>
  <c r="G589" i="1"/>
  <c r="H589" i="1"/>
  <c r="F589" i="1"/>
  <c r="P2" i="14"/>
  <c r="O2" i="14"/>
  <c r="O21" i="14"/>
  <c r="O34" i="14"/>
  <c r="O45" i="14"/>
  <c r="O3" i="14"/>
  <c r="Q45" i="14"/>
  <c r="P45" i="14"/>
  <c r="N45" i="14"/>
  <c r="M45" i="14"/>
  <c r="L45" i="14"/>
  <c r="K45" i="14"/>
  <c r="Q34" i="14"/>
  <c r="P34" i="14"/>
  <c r="N34" i="14"/>
  <c r="M34" i="14"/>
  <c r="L34" i="14"/>
  <c r="K34" i="14"/>
  <c r="Q21" i="14"/>
  <c r="P21" i="14"/>
  <c r="N21" i="14"/>
  <c r="M21" i="14"/>
  <c r="L21" i="14"/>
  <c r="K21" i="14"/>
  <c r="C2" i="1"/>
  <c r="B2" i="1"/>
  <c r="P3" i="14"/>
  <c r="G42" i="13"/>
  <c r="G655" i="1"/>
  <c r="E7" i="17"/>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c r="G653" i="1"/>
  <c r="E45" i="14"/>
  <c r="D45" i="14"/>
  <c r="E34" i="14"/>
  <c r="D34" i="14"/>
  <c r="E21" i="14"/>
  <c r="D21" i="14"/>
  <c r="G36" i="13"/>
  <c r="G29" i="13"/>
  <c r="B22" i="12"/>
  <c r="F88" i="2"/>
  <c r="E88" i="2"/>
  <c r="D88" i="2"/>
  <c r="C88" i="2"/>
  <c r="H88" i="2"/>
  <c r="I163" i="1"/>
  <c r="H163" i="1"/>
  <c r="G163" i="1"/>
  <c r="F163" i="1"/>
  <c r="B31" i="16"/>
  <c r="B27" i="16"/>
  <c r="B9" i="16"/>
  <c r="B5" i="16"/>
  <c r="F44" i="14"/>
  <c r="F40" i="14"/>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25" i="14" s="1"/>
  <c r="H25" i="14" s="1"/>
  <c r="I25" i="14" s="1"/>
  <c r="F5" i="14"/>
  <c r="B2" i="14"/>
  <c r="T22" i="15"/>
  <c r="A2" i="14"/>
  <c r="F33" i="13"/>
  <c r="C45" i="2"/>
  <c r="H45" i="2"/>
  <c r="G51" i="1"/>
  <c r="F51" i="1"/>
  <c r="C37" i="10"/>
  <c r="F40" i="2"/>
  <c r="H40" i="2"/>
  <c r="D39" i="2"/>
  <c r="H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L284" i="1"/>
  <c r="L303" i="1"/>
  <c r="L322" i="1"/>
  <c r="E120" i="2"/>
  <c r="H120" i="2"/>
  <c r="D39" i="13"/>
  <c r="G13" i="13"/>
  <c r="H13" i="13"/>
  <c r="L207" i="1"/>
  <c r="L225" i="1"/>
  <c r="L243" i="1"/>
  <c r="G16" i="13"/>
  <c r="H16" i="13"/>
  <c r="L210" i="1"/>
  <c r="L228" i="1"/>
  <c r="L246" i="1"/>
  <c r="C125" i="2"/>
  <c r="L289" i="1"/>
  <c r="L308" i="1"/>
  <c r="L327" i="1"/>
  <c r="E125" i="2"/>
  <c r="H125" i="2"/>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307" i="1"/>
  <c r="G663"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5" i="1"/>
  <c r="L286" i="1"/>
  <c r="L287" i="1"/>
  <c r="L288" i="1"/>
  <c r="L296" i="1"/>
  <c r="L297" i="1"/>
  <c r="L298" i="1"/>
  <c r="L299" i="1"/>
  <c r="L301" i="1"/>
  <c r="L302" i="1"/>
  <c r="L304" i="1"/>
  <c r="L305" i="1"/>
  <c r="L306" i="1"/>
  <c r="L315" i="1"/>
  <c r="L316" i="1"/>
  <c r="L317" i="1"/>
  <c r="L318" i="1"/>
  <c r="L320" i="1"/>
  <c r="L321" i="1"/>
  <c r="L323" i="1"/>
  <c r="L324" i="1"/>
  <c r="L325" i="1"/>
  <c r="L326" i="1"/>
  <c r="L334" i="1"/>
  <c r="L335" i="1"/>
  <c r="L336" i="1"/>
  <c r="L261" i="1"/>
  <c r="L262" i="1"/>
  <c r="C132" i="2"/>
  <c r="L342" i="1"/>
  <c r="C32" i="10"/>
  <c r="L343" i="1"/>
  <c r="E132" i="2"/>
  <c r="L256" i="1"/>
  <c r="L337" i="1"/>
  <c r="E130" i="2"/>
  <c r="C11" i="13"/>
  <c r="C10" i="13"/>
  <c r="C9" i="13"/>
  <c r="L362" i="1"/>
  <c r="B4"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G62" i="2"/>
  <c r="F2" i="11"/>
  <c r="L614" i="1"/>
  <c r="H664" i="1"/>
  <c r="L613" i="1"/>
  <c r="G664" i="1"/>
  <c r="L612" i="1"/>
  <c r="F664" i="1"/>
  <c r="C40" i="10"/>
  <c r="F60" i="1"/>
  <c r="G60" i="1"/>
  <c r="D56" i="2"/>
  <c r="H60" i="1"/>
  <c r="E56" i="2"/>
  <c r="I60" i="1"/>
  <c r="F79" i="1"/>
  <c r="C57" i="2"/>
  <c r="F94" i="1"/>
  <c r="F111" i="1"/>
  <c r="G111" i="1"/>
  <c r="H79" i="1"/>
  <c r="H94" i="1"/>
  <c r="H111" i="1"/>
  <c r="I111" i="1"/>
  <c r="I112" i="1"/>
  <c r="J111" i="1"/>
  <c r="J112" i="1"/>
  <c r="F121" i="1"/>
  <c r="F136" i="1"/>
  <c r="G121" i="1"/>
  <c r="G136" i="1"/>
  <c r="H121" i="1"/>
  <c r="H136" i="1"/>
  <c r="H140" i="1"/>
  <c r="H112" i="1"/>
  <c r="H147" i="1"/>
  <c r="H170" i="1"/>
  <c r="H184" i="1"/>
  <c r="H189" i="1"/>
  <c r="H193" i="1"/>
  <c r="H194" i="1"/>
  <c r="G630" i="1"/>
  <c r="H630" i="1"/>
  <c r="J630" i="1"/>
  <c r="I121" i="1"/>
  <c r="I136" i="1"/>
  <c r="J121" i="1"/>
  <c r="J136" i="1"/>
  <c r="J140" i="1"/>
  <c r="F147" i="1"/>
  <c r="F170" i="1"/>
  <c r="G147" i="1"/>
  <c r="D85" i="2"/>
  <c r="D89" i="2"/>
  <c r="D91" i="2"/>
  <c r="I147" i="1"/>
  <c r="L251" i="1"/>
  <c r="C113" i="2"/>
  <c r="L333" i="1"/>
  <c r="E113" i="2"/>
  <c r="H113" i="2"/>
  <c r="L255" i="1"/>
  <c r="L269" i="1"/>
  <c r="L270" i="1"/>
  <c r="C143" i="2"/>
  <c r="L350" i="1"/>
  <c r="E142" i="2"/>
  <c r="L351" i="1"/>
  <c r="E143" i="2"/>
  <c r="I666" i="1"/>
  <c r="I668" i="1" s="1"/>
  <c r="I671" i="1"/>
  <c r="C42" i="10"/>
  <c r="L375" i="1"/>
  <c r="L376" i="1"/>
  <c r="L377" i="1"/>
  <c r="L378" i="1"/>
  <c r="L379" i="1"/>
  <c r="L380" i="1"/>
  <c r="L381" i="1"/>
  <c r="B2" i="10"/>
  <c r="L345" i="1"/>
  <c r="E134" i="2"/>
  <c r="L346" i="1"/>
  <c r="E135" i="2"/>
  <c r="L347" i="1"/>
  <c r="E137" i="2"/>
  <c r="L348" i="1"/>
  <c r="K352" i="1"/>
  <c r="L522" i="1"/>
  <c r="F550" i="1"/>
  <c r="L523" i="1"/>
  <c r="F551" i="1"/>
  <c r="L524" i="1"/>
  <c r="F552" i="1"/>
  <c r="L527" i="1"/>
  <c r="G550" i="1"/>
  <c r="L528" i="1"/>
  <c r="G551" i="1"/>
  <c r="L529" i="1"/>
  <c r="G552" i="1"/>
  <c r="G553" i="1"/>
  <c r="L532" i="1"/>
  <c r="H550" i="1"/>
  <c r="L533" i="1"/>
  <c r="H551" i="1"/>
  <c r="L534" i="1"/>
  <c r="H552" i="1"/>
  <c r="L537" i="1"/>
  <c r="I550" i="1"/>
  <c r="L538" i="1"/>
  <c r="I551" i="1"/>
  <c r="L539" i="1"/>
  <c r="I552" i="1"/>
  <c r="I553" i="1"/>
  <c r="L542" i="1"/>
  <c r="J550" i="1"/>
  <c r="L543" i="1"/>
  <c r="J551" i="1"/>
  <c r="L544" i="1"/>
  <c r="J552" i="1"/>
  <c r="J553" i="1"/>
  <c r="K271" i="1"/>
  <c r="J271" i="1"/>
  <c r="I271" i="1"/>
  <c r="H271" i="1"/>
  <c r="G271" i="1"/>
  <c r="F271" i="1"/>
  <c r="C131" i="2"/>
  <c r="A1" i="2"/>
  <c r="A2" i="2"/>
  <c r="C8" i="2"/>
  <c r="D8" i="2"/>
  <c r="E8" i="2"/>
  <c r="F8" i="2"/>
  <c r="I440" i="1"/>
  <c r="J9" i="1"/>
  <c r="G8" i="2"/>
  <c r="C9" i="2"/>
  <c r="D9" i="2"/>
  <c r="E9" i="2"/>
  <c r="F9" i="2"/>
  <c r="I441" i="1"/>
  <c r="J10" i="1"/>
  <c r="G9" i="2"/>
  <c r="H9" i="2"/>
  <c r="C10" i="2"/>
  <c r="H10" i="2"/>
  <c r="C11" i="2"/>
  <c r="D11" i="2"/>
  <c r="E11" i="2"/>
  <c r="F11" i="2"/>
  <c r="I442" i="1"/>
  <c r="J12" i="1"/>
  <c r="G11" i="2"/>
  <c r="C12" i="2"/>
  <c r="D12" i="2"/>
  <c r="E12" i="2"/>
  <c r="F12" i="2"/>
  <c r="I443" i="1"/>
  <c r="J13" i="1"/>
  <c r="G12" i="2"/>
  <c r="H12" i="2"/>
  <c r="C13" i="2"/>
  <c r="D13" i="2"/>
  <c r="E13" i="2"/>
  <c r="F13" i="2"/>
  <c r="I444" i="1"/>
  <c r="J14" i="1"/>
  <c r="G13" i="2"/>
  <c r="F14" i="2"/>
  <c r="H14" i="2"/>
  <c r="C15" i="2"/>
  <c r="D15" i="2"/>
  <c r="E15" i="2"/>
  <c r="F15" i="2"/>
  <c r="C16" i="2"/>
  <c r="D16" i="2"/>
  <c r="E16" i="2"/>
  <c r="F16" i="2"/>
  <c r="F17" i="2"/>
  <c r="F18" i="2"/>
  <c r="I445" i="1"/>
  <c r="J17" i="1"/>
  <c r="C17" i="2"/>
  <c r="D17" i="2"/>
  <c r="E17" i="2"/>
  <c r="I446" i="1"/>
  <c r="J18" i="1"/>
  <c r="G17" i="2"/>
  <c r="H17" i="2"/>
  <c r="C21" i="2"/>
  <c r="D21" i="2"/>
  <c r="E21" i="2"/>
  <c r="F21" i="2"/>
  <c r="I449" i="1"/>
  <c r="J22" i="1"/>
  <c r="C22" i="2"/>
  <c r="E22" i="2"/>
  <c r="D22" i="2"/>
  <c r="F22" i="2"/>
  <c r="I450" i="1"/>
  <c r="J23" i="1"/>
  <c r="G22" i="2"/>
  <c r="H22" i="2"/>
  <c r="C23" i="2"/>
  <c r="D23" i="2"/>
  <c r="E23" i="2"/>
  <c r="F23" i="2"/>
  <c r="I451" i="1"/>
  <c r="J24" i="1"/>
  <c r="I452" i="1"/>
  <c r="J31" i="1"/>
  <c r="J32" i="1"/>
  <c r="G23" i="2"/>
  <c r="G21" i="2"/>
  <c r="G30" i="2"/>
  <c r="G31" i="2"/>
  <c r="C24" i="2"/>
  <c r="D24" i="2"/>
  <c r="E24" i="2"/>
  <c r="F24" i="2"/>
  <c r="C25" i="2"/>
  <c r="F25" i="2"/>
  <c r="C26" i="2"/>
  <c r="F26" i="2"/>
  <c r="H26" i="2"/>
  <c r="C27" i="2"/>
  <c r="D27" i="2"/>
  <c r="E27" i="2"/>
  <c r="F27" i="2"/>
  <c r="H27" i="2"/>
  <c r="C28" i="2"/>
  <c r="D28" i="2"/>
  <c r="E28" i="2"/>
  <c r="F28" i="2"/>
  <c r="H28" i="2"/>
  <c r="C29" i="2"/>
  <c r="D29" i="2"/>
  <c r="E29" i="2"/>
  <c r="F29" i="2"/>
  <c r="H29" i="2"/>
  <c r="C30" i="2"/>
  <c r="D30" i="2"/>
  <c r="E30" i="2"/>
  <c r="F30" i="2"/>
  <c r="H30" i="2"/>
  <c r="C34" i="2"/>
  <c r="D34" i="2"/>
  <c r="E34" i="2"/>
  <c r="F34" i="2"/>
  <c r="C35" i="2"/>
  <c r="D35" i="2"/>
  <c r="E35" i="2"/>
  <c r="F35" i="2"/>
  <c r="H35" i="2"/>
  <c r="F50" i="2"/>
  <c r="I455" i="1"/>
  <c r="J49" i="1"/>
  <c r="G48" i="2"/>
  <c r="I457" i="1"/>
  <c r="J43" i="1"/>
  <c r="I458" i="1"/>
  <c r="J37" i="1"/>
  <c r="G36" i="2"/>
  <c r="G42" i="2"/>
  <c r="I460" i="1"/>
  <c r="J48" i="1"/>
  <c r="G47" i="2"/>
  <c r="G50" i="2"/>
  <c r="G51" i="2"/>
  <c r="H47" i="2"/>
  <c r="C49" i="2"/>
  <c r="H49" i="2"/>
  <c r="F56" i="2"/>
  <c r="E58" i="2"/>
  <c r="E57" i="2"/>
  <c r="E59" i="2"/>
  <c r="E61" i="2"/>
  <c r="E62" i="2"/>
  <c r="C59" i="2"/>
  <c r="D59" i="2"/>
  <c r="F59" i="2"/>
  <c r="D60" i="2"/>
  <c r="H60" i="2"/>
  <c r="C61" i="2"/>
  <c r="D61" i="2"/>
  <c r="F61" i="2"/>
  <c r="C66" i="2"/>
  <c r="H66" i="2"/>
  <c r="C67" i="2"/>
  <c r="H67" i="2"/>
  <c r="C69" i="2"/>
  <c r="D69" i="2"/>
  <c r="E69" i="2"/>
  <c r="E70" i="2"/>
  <c r="F69" i="2"/>
  <c r="F70" i="2"/>
  <c r="F72" i="2"/>
  <c r="F73" i="2"/>
  <c r="F76" i="2"/>
  <c r="F77" i="2"/>
  <c r="F78" i="2"/>
  <c r="F81" i="2"/>
  <c r="G69" i="2"/>
  <c r="G70" i="2"/>
  <c r="C72" i="2"/>
  <c r="H72" i="2"/>
  <c r="C73" i="2"/>
  <c r="C74" i="2"/>
  <c r="H74" i="2"/>
  <c r="C75" i="2"/>
  <c r="H75" i="2"/>
  <c r="C76" i="2"/>
  <c r="E76" i="2"/>
  <c r="H76" i="2"/>
  <c r="C77" i="2"/>
  <c r="D77" i="2"/>
  <c r="E77" i="2"/>
  <c r="G77" i="2"/>
  <c r="G78" i="2"/>
  <c r="G81" i="2"/>
  <c r="C79" i="2"/>
  <c r="D79" i="2"/>
  <c r="E79" i="2"/>
  <c r="C80" i="2"/>
  <c r="E80" i="2"/>
  <c r="H80" i="2"/>
  <c r="C85" i="2"/>
  <c r="F85" i="2"/>
  <c r="C87" i="2"/>
  <c r="E87" i="2"/>
  <c r="F87" i="2"/>
  <c r="H87" i="2"/>
  <c r="C89" i="2"/>
  <c r="E89" i="2"/>
  <c r="E85" i="2"/>
  <c r="E91" i="2"/>
  <c r="F89" i="2"/>
  <c r="C90" i="2"/>
  <c r="H90" i="2"/>
  <c r="C93" i="2"/>
  <c r="F93" i="2"/>
  <c r="C94" i="2"/>
  <c r="F94" i="2"/>
  <c r="D96" i="2"/>
  <c r="E96" i="2"/>
  <c r="F96" i="2"/>
  <c r="G96" i="2"/>
  <c r="G97" i="2"/>
  <c r="G98" i="2"/>
  <c r="G103" i="2"/>
  <c r="C97" i="2"/>
  <c r="D97" i="2"/>
  <c r="E97" i="2"/>
  <c r="F97" i="2"/>
  <c r="H97" i="2"/>
  <c r="C98" i="2"/>
  <c r="D98" i="2"/>
  <c r="E98" i="2"/>
  <c r="C99" i="2"/>
  <c r="D99" i="2"/>
  <c r="E99" i="2"/>
  <c r="F99" i="2"/>
  <c r="H99" i="2"/>
  <c r="C100" i="2"/>
  <c r="D100" i="2"/>
  <c r="E100" i="2"/>
  <c r="F100" i="2"/>
  <c r="H100" i="2"/>
  <c r="C101" i="2"/>
  <c r="D101" i="2"/>
  <c r="E101" i="2"/>
  <c r="F101" i="2"/>
  <c r="H101" i="2"/>
  <c r="C102" i="2"/>
  <c r="D102" i="2"/>
  <c r="E102" i="2"/>
  <c r="F102" i="2"/>
  <c r="H102" i="2"/>
  <c r="E111" i="2"/>
  <c r="E112" i="2"/>
  <c r="D115" i="2"/>
  <c r="F115" i="2"/>
  <c r="G115" i="2"/>
  <c r="E124" i="2"/>
  <c r="F128" i="2"/>
  <c r="G128" i="2"/>
  <c r="C130" i="2"/>
  <c r="D134" i="2"/>
  <c r="F134" i="2"/>
  <c r="K420" i="1"/>
  <c r="K428" i="1"/>
  <c r="K434" i="1"/>
  <c r="L264" i="1"/>
  <c r="C135" i="2"/>
  <c r="H135" i="2"/>
  <c r="L265" i="1"/>
  <c r="C136" i="2"/>
  <c r="H136" i="2"/>
  <c r="L266" i="1"/>
  <c r="C137" i="2"/>
  <c r="H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G156" i="2"/>
  <c r="B157" i="2"/>
  <c r="C157" i="2"/>
  <c r="D157" i="2"/>
  <c r="E157" i="2"/>
  <c r="F157" i="2"/>
  <c r="B158" i="2"/>
  <c r="C158" i="2"/>
  <c r="D158" i="2"/>
  <c r="E158" i="2"/>
  <c r="F158" i="2"/>
  <c r="B159" i="2"/>
  <c r="C159" i="2"/>
  <c r="D159" i="2"/>
  <c r="E159" i="2"/>
  <c r="F159" i="2"/>
  <c r="G159" i="2"/>
  <c r="B160" i="2"/>
  <c r="C160" i="2"/>
  <c r="D160" i="2"/>
  <c r="E160" i="2"/>
  <c r="F160" i="2"/>
  <c r="G160" i="2"/>
  <c r="F501" i="1"/>
  <c r="B161" i="2"/>
  <c r="G501" i="1"/>
  <c r="C161" i="2"/>
  <c r="H501" i="1"/>
  <c r="D161" i="2"/>
  <c r="I501" i="1"/>
  <c r="E161" i="2"/>
  <c r="J501" i="1"/>
  <c r="F161" i="2"/>
  <c r="G161" i="2"/>
  <c r="B162" i="2"/>
  <c r="C162" i="2"/>
  <c r="D162" i="2"/>
  <c r="E162" i="2"/>
  <c r="F162" i="2"/>
  <c r="B163" i="2"/>
  <c r="C163" i="2"/>
  <c r="D163" i="2"/>
  <c r="E163" i="2"/>
  <c r="F163" i="2"/>
  <c r="F504" i="1"/>
  <c r="B164" i="2"/>
  <c r="G504" i="1"/>
  <c r="C164" i="2"/>
  <c r="H504" i="1"/>
  <c r="D164" i="2"/>
  <c r="I504" i="1"/>
  <c r="E164" i="2"/>
  <c r="J504" i="1"/>
  <c r="F164" i="2"/>
  <c r="G164" i="2"/>
  <c r="F19" i="1"/>
  <c r="G618" i="1"/>
  <c r="G19" i="1"/>
  <c r="G619" i="1"/>
  <c r="G32" i="1"/>
  <c r="G52" i="1"/>
  <c r="H619" i="1"/>
  <c r="J619" i="1"/>
  <c r="H19" i="1"/>
  <c r="G620" i="1"/>
  <c r="I19" i="1"/>
  <c r="G621" i="1"/>
  <c r="F32" i="1"/>
  <c r="F52" i="1"/>
  <c r="H618" i="1"/>
  <c r="H32" i="1"/>
  <c r="I32" i="1"/>
  <c r="H51" i="1"/>
  <c r="I51" i="1"/>
  <c r="I52" i="1"/>
  <c r="H621" i="1"/>
  <c r="F178" i="1"/>
  <c r="I178" i="1"/>
  <c r="F184" i="1"/>
  <c r="F189" i="1"/>
  <c r="F193" i="1"/>
  <c r="G184" i="1"/>
  <c r="I184" i="1"/>
  <c r="J184" i="1"/>
  <c r="J193" i="1"/>
  <c r="G189" i="1"/>
  <c r="I189" i="1"/>
  <c r="F212" i="1"/>
  <c r="G212" i="1"/>
  <c r="H212" i="1"/>
  <c r="I212" i="1"/>
  <c r="I230" i="1"/>
  <c r="I248" i="1"/>
  <c r="I257" i="1"/>
  <c r="I258" i="1"/>
  <c r="I272" i="1"/>
  <c r="J212" i="1"/>
  <c r="K212" i="1"/>
  <c r="F230" i="1"/>
  <c r="F248" i="1"/>
  <c r="F257" i="1"/>
  <c r="F258" i="1"/>
  <c r="F272" i="1"/>
  <c r="G230" i="1"/>
  <c r="H230" i="1"/>
  <c r="J230" i="1"/>
  <c r="K230" i="1"/>
  <c r="G248" i="1"/>
  <c r="H248" i="1"/>
  <c r="H257" i="1"/>
  <c r="H258" i="1"/>
  <c r="J248" i="1"/>
  <c r="K248" i="1"/>
  <c r="G257" i="1"/>
  <c r="J257" i="1"/>
  <c r="J258" i="1"/>
  <c r="J272" i="1"/>
  <c r="K257" i="1"/>
  <c r="F291" i="1"/>
  <c r="G291" i="1"/>
  <c r="H291" i="1"/>
  <c r="I291" i="1"/>
  <c r="F310" i="1"/>
  <c r="G310" i="1"/>
  <c r="H310" i="1"/>
  <c r="I310" i="1"/>
  <c r="F329" i="1"/>
  <c r="G329" i="1"/>
  <c r="H329" i="1"/>
  <c r="I329" i="1"/>
  <c r="F338" i="1"/>
  <c r="G338" i="1"/>
  <c r="H338" i="1"/>
  <c r="I338" i="1"/>
  <c r="J338" i="1"/>
  <c r="K338" i="1"/>
  <c r="F363" i="1"/>
  <c r="G363" i="1"/>
  <c r="H363" i="1"/>
  <c r="I363" i="1"/>
  <c r="G635" i="1"/>
  <c r="I369" i="1"/>
  <c r="I370" i="1"/>
  <c r="H635" i="1"/>
  <c r="J635" i="1"/>
  <c r="J363" i="1"/>
  <c r="K363" i="1"/>
  <c r="F370" i="1"/>
  <c r="G370" i="1"/>
  <c r="H370" i="1"/>
  <c r="L382" i="1"/>
  <c r="F383" i="1"/>
  <c r="G383" i="1"/>
  <c r="H383" i="1"/>
  <c r="I383" i="1"/>
  <c r="J383" i="1"/>
  <c r="K383" i="1"/>
  <c r="F394" i="1"/>
  <c r="F402" i="1"/>
  <c r="F408" i="1"/>
  <c r="F409" i="1"/>
  <c r="G394" i="1"/>
  <c r="H394" i="1"/>
  <c r="H402" i="1"/>
  <c r="H408" i="1"/>
  <c r="H409" i="1"/>
  <c r="H645" i="1"/>
  <c r="G645" i="1"/>
  <c r="J645" i="1"/>
  <c r="I394" i="1"/>
  <c r="G402" i="1"/>
  <c r="I402" i="1"/>
  <c r="I408" i="1"/>
  <c r="I409" i="1"/>
  <c r="G408" i="1"/>
  <c r="G409" i="1"/>
  <c r="H646" i="1"/>
  <c r="H644" i="1"/>
  <c r="L414" i="1"/>
  <c r="L415" i="1"/>
  <c r="L416" i="1"/>
  <c r="L417" i="1"/>
  <c r="L418" i="1"/>
  <c r="L419" i="1"/>
  <c r="F420" i="1"/>
  <c r="G420" i="1"/>
  <c r="H420" i="1"/>
  <c r="I420" i="1"/>
  <c r="J420" i="1"/>
  <c r="J428" i="1"/>
  <c r="J434" i="1"/>
  <c r="J435" i="1"/>
  <c r="L422" i="1"/>
  <c r="L423" i="1"/>
  <c r="L424" i="1"/>
  <c r="L425" i="1"/>
  <c r="L426" i="1"/>
  <c r="L427" i="1"/>
  <c r="F428" i="1"/>
  <c r="G428" i="1"/>
  <c r="H428" i="1"/>
  <c r="I428" i="1"/>
  <c r="L430" i="1"/>
  <c r="L431" i="1"/>
  <c r="L432" i="1"/>
  <c r="L433" i="1"/>
  <c r="L434" i="1"/>
  <c r="F434" i="1"/>
  <c r="G434" i="1"/>
  <c r="H434" i="1"/>
  <c r="I434" i="1"/>
  <c r="F447" i="1"/>
  <c r="G640" i="1"/>
  <c r="G447" i="1"/>
  <c r="H447" i="1"/>
  <c r="G642" i="1"/>
  <c r="H453" i="1"/>
  <c r="H461" i="1"/>
  <c r="H462" i="1"/>
  <c r="H642" i="1"/>
  <c r="J642" i="1"/>
  <c r="F453" i="1"/>
  <c r="G453" i="1"/>
  <c r="F461" i="1"/>
  <c r="F462" i="1"/>
  <c r="H640" i="1"/>
  <c r="G461" i="1"/>
  <c r="F471" i="1"/>
  <c r="F475" i="1"/>
  <c r="F477" i="1"/>
  <c r="G471" i="1"/>
  <c r="G475" i="1"/>
  <c r="G477" i="1"/>
  <c r="H471" i="1"/>
  <c r="I471" i="1"/>
  <c r="I475" i="1"/>
  <c r="I477" i="1"/>
  <c r="H626" i="1"/>
  <c r="G626" i="1"/>
  <c r="J626" i="1"/>
  <c r="J471" i="1"/>
  <c r="H475" i="1"/>
  <c r="H477" i="1"/>
  <c r="H625" i="1"/>
  <c r="G625" i="1"/>
  <c r="J625" i="1"/>
  <c r="J475" i="1"/>
  <c r="K496" i="1"/>
  <c r="K497" i="1"/>
  <c r="K498" i="1"/>
  <c r="K499" i="1"/>
  <c r="K500" i="1"/>
  <c r="K502" i="1"/>
  <c r="K503" i="1"/>
  <c r="F518" i="1"/>
  <c r="G518" i="1"/>
  <c r="H518" i="1"/>
  <c r="I518" i="1"/>
  <c r="F525" i="1"/>
  <c r="F530" i="1"/>
  <c r="F535" i="1"/>
  <c r="F540" i="1"/>
  <c r="F545" i="1"/>
  <c r="F546" i="1"/>
  <c r="G525" i="1"/>
  <c r="H525" i="1"/>
  <c r="I525" i="1"/>
  <c r="J525" i="1"/>
  <c r="K525" i="1"/>
  <c r="G530" i="1"/>
  <c r="H530" i="1"/>
  <c r="H535" i="1"/>
  <c r="H540" i="1"/>
  <c r="H545" i="1"/>
  <c r="H546" i="1"/>
  <c r="I530" i="1"/>
  <c r="J530" i="1"/>
  <c r="K530" i="1"/>
  <c r="G535" i="1"/>
  <c r="G540" i="1"/>
  <c r="G545" i="1"/>
  <c r="G546" i="1"/>
  <c r="I535" i="1"/>
  <c r="J535" i="1"/>
  <c r="J540" i="1"/>
  <c r="J545" i="1"/>
  <c r="J546" i="1"/>
  <c r="K535" i="1"/>
  <c r="I540" i="1"/>
  <c r="I545" i="1"/>
  <c r="I546" i="1"/>
  <c r="K540" i="1"/>
  <c r="K545" i="1"/>
  <c r="L558" i="1"/>
  <c r="L559" i="1"/>
  <c r="L560" i="1"/>
  <c r="L561" i="1"/>
  <c r="F561" i="1"/>
  <c r="G561" i="1"/>
  <c r="H561" i="1"/>
  <c r="I561" i="1"/>
  <c r="J561" i="1"/>
  <c r="J566" i="1"/>
  <c r="J571" i="1"/>
  <c r="J572" i="1"/>
  <c r="K561" i="1"/>
  <c r="L563" i="1"/>
  <c r="L564" i="1"/>
  <c r="L565" i="1"/>
  <c r="L566" i="1"/>
  <c r="F566" i="1"/>
  <c r="G566" i="1"/>
  <c r="H566" i="1"/>
  <c r="I566" i="1"/>
  <c r="K566" i="1"/>
  <c r="L568" i="1"/>
  <c r="L569" i="1"/>
  <c r="L570" i="1"/>
  <c r="L571" i="1"/>
  <c r="F571" i="1"/>
  <c r="G571" i="1"/>
  <c r="H571" i="1"/>
  <c r="H572" i="1"/>
  <c r="I571" i="1"/>
  <c r="K571" i="1"/>
  <c r="K572" i="1"/>
  <c r="I576" i="1"/>
  <c r="I577" i="1"/>
  <c r="I578" i="1"/>
  <c r="I579" i="1"/>
  <c r="I580" i="1"/>
  <c r="I581" i="1"/>
  <c r="I582" i="1"/>
  <c r="I583" i="1"/>
  <c r="I584" i="1"/>
  <c r="I585" i="1"/>
  <c r="I586" i="1"/>
  <c r="I587" i="1"/>
  <c r="I588" i="1"/>
  <c r="K592" i="1"/>
  <c r="K593" i="1"/>
  <c r="K594" i="1"/>
  <c r="K595" i="1"/>
  <c r="K596" i="1"/>
  <c r="K597" i="1"/>
  <c r="K598" i="1"/>
  <c r="K599" i="1"/>
  <c r="G648" i="1"/>
  <c r="H648" i="1"/>
  <c r="J648" i="1"/>
  <c r="H599" i="1"/>
  <c r="H650" i="1"/>
  <c r="I599" i="1"/>
  <c r="H651" i="1"/>
  <c r="G651" i="1"/>
  <c r="J651" i="1"/>
  <c r="J599" i="1"/>
  <c r="H652" i="1"/>
  <c r="K603" i="1"/>
  <c r="K604" i="1"/>
  <c r="K605" i="1"/>
  <c r="K606" i="1"/>
  <c r="H606" i="1"/>
  <c r="I606" i="1"/>
  <c r="J606" i="1"/>
  <c r="F615" i="1"/>
  <c r="G615" i="1"/>
  <c r="H615" i="1"/>
  <c r="I615" i="1"/>
  <c r="J615" i="1"/>
  <c r="K615" i="1"/>
  <c r="G623" i="1"/>
  <c r="G624" i="1"/>
  <c r="H624" i="1"/>
  <c r="J624" i="1"/>
  <c r="H628" i="1"/>
  <c r="H629" i="1"/>
  <c r="H631" i="1"/>
  <c r="H632" i="1"/>
  <c r="H633" i="1"/>
  <c r="H634" i="1"/>
  <c r="H636" i="1"/>
  <c r="H637" i="1"/>
  <c r="H638" i="1"/>
  <c r="H639" i="1"/>
  <c r="G641" i="1"/>
  <c r="G644" i="1"/>
  <c r="G646" i="1"/>
  <c r="J646" i="1"/>
  <c r="G652" i="1"/>
  <c r="J652" i="1"/>
  <c r="H653" i="1"/>
  <c r="G654" i="1"/>
  <c r="H654" i="1"/>
  <c r="H655" i="1"/>
  <c r="H656" i="1"/>
  <c r="J656" i="1"/>
  <c r="I170" i="1"/>
  <c r="H73" i="2"/>
  <c r="D18" i="13"/>
  <c r="C18" i="13"/>
  <c r="H94" i="2"/>
  <c r="H93" i="2"/>
  <c r="H25" i="2"/>
  <c r="H24" i="2"/>
  <c r="H132" i="2"/>
  <c r="G662" i="1"/>
  <c r="D144" i="2"/>
  <c r="H89" i="2"/>
  <c r="H79" i="2"/>
  <c r="H59" i="2"/>
  <c r="H143" i="2"/>
  <c r="D29" i="13"/>
  <c r="D15" i="13"/>
  <c r="C15" i="13"/>
  <c r="E13" i="13"/>
  <c r="C13" i="13"/>
  <c r="C13" i="10"/>
  <c r="C12" i="10"/>
  <c r="K36" i="14"/>
  <c r="K37" i="14"/>
  <c r="C119" i="2"/>
  <c r="C112" i="2"/>
  <c r="H112" i="2"/>
  <c r="K2" i="14"/>
  <c r="K3" i="14"/>
  <c r="H61" i="2"/>
  <c r="H15" i="2"/>
  <c r="H43" i="2"/>
  <c r="H38" i="2"/>
  <c r="H34" i="2"/>
  <c r="D78" i="2"/>
  <c r="A40" i="12"/>
  <c r="M23" i="14"/>
  <c r="M24" i="14"/>
  <c r="L23" i="14"/>
  <c r="L24" i="14"/>
  <c r="N36" i="14"/>
  <c r="N37" i="14"/>
  <c r="M36" i="14"/>
  <c r="M37" i="14"/>
  <c r="L36" i="14"/>
  <c r="L37" i="14"/>
  <c r="C110" i="2"/>
  <c r="C121" i="2"/>
  <c r="N23" i="14"/>
  <c r="N24" i="14"/>
  <c r="D6" i="13"/>
  <c r="C6" i="13"/>
  <c r="K23" i="14"/>
  <c r="K24" i="14"/>
  <c r="M2" i="14"/>
  <c r="M3" i="14"/>
  <c r="L2" i="14"/>
  <c r="L3" i="14"/>
  <c r="E121" i="2"/>
  <c r="N2" i="14"/>
  <c r="N3" i="14"/>
  <c r="E119" i="2"/>
  <c r="G339" i="1"/>
  <c r="G353" i="1"/>
  <c r="E123" i="2"/>
  <c r="E110" i="2"/>
  <c r="K339" i="1"/>
  <c r="K353" i="1"/>
  <c r="D50" i="2"/>
  <c r="E131" i="2"/>
  <c r="H131" i="2"/>
  <c r="H663" i="1"/>
  <c r="C20" i="10"/>
  <c r="L257" i="1"/>
  <c r="L212" i="1"/>
  <c r="L230" i="1"/>
  <c r="L248" i="1"/>
  <c r="L258" i="1"/>
  <c r="L271" i="1"/>
  <c r="L272" i="1"/>
  <c r="G633" i="1"/>
  <c r="J633" i="1"/>
  <c r="C11" i="10"/>
  <c r="A31" i="12"/>
  <c r="E114" i="2"/>
  <c r="L402" i="1"/>
  <c r="C139" i="2"/>
  <c r="H139" i="2"/>
  <c r="F339" i="1"/>
  <c r="F353" i="1"/>
  <c r="G462" i="1"/>
  <c r="H641" i="1"/>
  <c r="D18" i="2"/>
  <c r="L310" i="1"/>
  <c r="G649" i="1"/>
  <c r="H272" i="1"/>
  <c r="J621" i="1"/>
  <c r="C18" i="2"/>
  <c r="F662" i="1"/>
  <c r="F572" i="1"/>
  <c r="L420" i="1"/>
  <c r="J644" i="1"/>
  <c r="L394" i="1"/>
  <c r="C138" i="2"/>
  <c r="H138" i="2"/>
  <c r="L363" i="1"/>
  <c r="B17" i="16"/>
  <c r="B19" i="16"/>
  <c r="G112" i="1"/>
  <c r="B10" i="16"/>
  <c r="G170" i="1"/>
  <c r="B12" i="16"/>
  <c r="G140" i="1"/>
  <c r="B11" i="16"/>
  <c r="G193" i="1"/>
  <c r="B13" i="16"/>
  <c r="B14" i="16"/>
  <c r="B22" i="16"/>
  <c r="B28" i="16"/>
  <c r="L329" i="1"/>
  <c r="E122" i="2"/>
  <c r="C122" i="2"/>
  <c r="H122" i="2"/>
  <c r="L291" i="1"/>
  <c r="B33" i="16"/>
  <c r="L615" i="1"/>
  <c r="I572" i="1"/>
  <c r="K546" i="1"/>
  <c r="H52" i="1"/>
  <c r="H620" i="1"/>
  <c r="C114" i="2"/>
  <c r="H114" i="2"/>
  <c r="E118" i="2"/>
  <c r="C118" i="2"/>
  <c r="H118" i="2"/>
  <c r="L530" i="1"/>
  <c r="G157" i="2"/>
  <c r="C78" i="2"/>
  <c r="D62" i="2"/>
  <c r="E63" i="2"/>
  <c r="C26" i="10"/>
  <c r="C18" i="10"/>
  <c r="J641" i="1"/>
  <c r="J477" i="1"/>
  <c r="H627" i="1"/>
  <c r="H623" i="1"/>
  <c r="J623" i="1"/>
  <c r="L428" i="1"/>
  <c r="K258" i="1"/>
  <c r="K272" i="1"/>
  <c r="F553" i="1"/>
  <c r="L352" i="1"/>
  <c r="F130" i="2"/>
  <c r="F144" i="2" s="1"/>
  <c r="H144" i="2" s="1"/>
  <c r="J618" i="1"/>
  <c r="I25" i="13"/>
  <c r="K551" i="1"/>
  <c r="L535" i="1"/>
  <c r="K501" i="1"/>
  <c r="I461" i="1"/>
  <c r="I453" i="1"/>
  <c r="I447" i="1"/>
  <c r="G643" i="1"/>
  <c r="I462" i="1"/>
  <c r="H643" i="1"/>
  <c r="J643" i="1"/>
  <c r="C123" i="2"/>
  <c r="H123" i="2"/>
  <c r="E109" i="2"/>
  <c r="C56" i="2"/>
  <c r="H56" i="2"/>
  <c r="F663" i="1"/>
  <c r="I663" i="1"/>
  <c r="C25" i="10"/>
  <c r="C21" i="10"/>
  <c r="C17" i="10"/>
  <c r="D19" i="13"/>
  <c r="C19" i="13"/>
  <c r="D14" i="13"/>
  <c r="C14" i="13"/>
  <c r="G22" i="13"/>
  <c r="C22" i="13"/>
  <c r="L540" i="1"/>
  <c r="L525" i="1"/>
  <c r="L545" i="1"/>
  <c r="L546" i="1"/>
  <c r="K504" i="1"/>
  <c r="L383" i="1"/>
  <c r="G637" i="1"/>
  <c r="J637" i="1"/>
  <c r="G258" i="1"/>
  <c r="G272" i="1"/>
  <c r="C142" i="2"/>
  <c r="H142" i="2"/>
  <c r="C111" i="2"/>
  <c r="H111" i="2"/>
  <c r="H662" i="1"/>
  <c r="H661" i="1"/>
  <c r="H665" i="1"/>
  <c r="C15" i="10"/>
  <c r="A13" i="12"/>
  <c r="C29" i="13"/>
  <c r="D12" i="13"/>
  <c r="C12" i="13"/>
  <c r="D5" i="13"/>
  <c r="C5" i="13"/>
  <c r="E8" i="13"/>
  <c r="E33" i="13" s="1"/>
  <c r="D35" i="13" s="1"/>
  <c r="C35" i="10"/>
  <c r="C29" i="10"/>
  <c r="G650" i="1"/>
  <c r="J650" i="1"/>
  <c r="J339" i="1"/>
  <c r="J353" i="1"/>
  <c r="D127" i="2"/>
  <c r="D128" i="2"/>
  <c r="D145" i="2"/>
  <c r="C124" i="2"/>
  <c r="H124" i="2"/>
  <c r="C19" i="10"/>
  <c r="C16" i="10"/>
  <c r="D17" i="13"/>
  <c r="C17" i="13"/>
  <c r="D7" i="13"/>
  <c r="C7" i="13"/>
  <c r="E16" i="13"/>
  <c r="C16" i="13"/>
  <c r="C10" i="10"/>
  <c r="C109" i="2"/>
  <c r="G25" i="14"/>
  <c r="L338" i="1"/>
  <c r="L339" i="1"/>
  <c r="L353" i="1"/>
  <c r="G634" i="1"/>
  <c r="J634" i="1"/>
  <c r="F62" i="2"/>
  <c r="F63" i="2"/>
  <c r="C23" i="10"/>
  <c r="G162" i="2"/>
  <c r="G158" i="2"/>
  <c r="F103" i="2"/>
  <c r="C103" i="2"/>
  <c r="F91" i="2"/>
  <c r="E50" i="2"/>
  <c r="C31" i="2"/>
  <c r="E18" i="2"/>
  <c r="E144" i="2"/>
  <c r="C24" i="10"/>
  <c r="H31" i="13"/>
  <c r="H33" i="13"/>
  <c r="I339" i="1"/>
  <c r="I353" i="1"/>
  <c r="L408" i="1"/>
  <c r="C140" i="2"/>
  <c r="C141" i="2"/>
  <c r="C144" i="2"/>
  <c r="H140" i="2"/>
  <c r="I193" i="1"/>
  <c r="J655" i="1"/>
  <c r="J654" i="1"/>
  <c r="F435" i="1"/>
  <c r="K435" i="1"/>
  <c r="G134" i="2"/>
  <c r="G31" i="13"/>
  <c r="J194" i="1"/>
  <c r="G647" i="1"/>
  <c r="G194" i="1"/>
  <c r="G629" i="1"/>
  <c r="J629" i="1"/>
  <c r="F140" i="1"/>
  <c r="I140" i="1"/>
  <c r="C38" i="10"/>
  <c r="G63" i="2"/>
  <c r="G16" i="2"/>
  <c r="J19" i="1"/>
  <c r="G622" i="1"/>
  <c r="H435" i="1"/>
  <c r="D103" i="2"/>
  <c r="A22" i="12"/>
  <c r="J653" i="1"/>
  <c r="G572" i="1"/>
  <c r="I435" i="1"/>
  <c r="G435" i="1"/>
  <c r="I664" i="1"/>
  <c r="H127" i="2"/>
  <c r="H21" i="2"/>
  <c r="H42" i="2"/>
  <c r="H57" i="2"/>
  <c r="H119" i="2"/>
  <c r="D63" i="2"/>
  <c r="I662" i="1"/>
  <c r="H110" i="2"/>
  <c r="H121" i="2"/>
  <c r="E128" i="2"/>
  <c r="E115" i="2"/>
  <c r="E145" i="2"/>
  <c r="F661" i="1"/>
  <c r="F665" i="1"/>
  <c r="H109" i="2"/>
  <c r="H649" i="1"/>
  <c r="J649" i="1"/>
  <c r="H141" i="2"/>
  <c r="G38" i="14"/>
  <c r="L435" i="1"/>
  <c r="G639" i="1"/>
  <c r="J639" i="1"/>
  <c r="I194" i="1"/>
  <c r="G631" i="1"/>
  <c r="J631" i="1"/>
  <c r="G636" i="1"/>
  <c r="J636" i="1"/>
  <c r="C27" i="10"/>
  <c r="G4" i="14"/>
  <c r="G33" i="13"/>
  <c r="D31" i="13"/>
  <c r="C31" i="13"/>
  <c r="G661" i="1"/>
  <c r="I661" i="1"/>
  <c r="I665" i="1"/>
  <c r="G665" i="1"/>
  <c r="G668" i="1"/>
  <c r="C25" i="13"/>
  <c r="I33" i="13"/>
  <c r="G632" i="1"/>
  <c r="J632" i="1"/>
  <c r="G104" i="2"/>
  <c r="F670" i="1"/>
  <c r="F668" i="1"/>
  <c r="C28" i="10"/>
  <c r="D27" i="10"/>
  <c r="H670" i="1"/>
  <c r="H673" i="1" s="1"/>
  <c r="C6" i="10" s="1"/>
  <c r="H668" i="1"/>
  <c r="H134" i="2"/>
  <c r="G144" i="2"/>
  <c r="G145" i="2"/>
  <c r="E78" i="2"/>
  <c r="H78" i="2"/>
  <c r="E103" i="2"/>
  <c r="H103" i="2"/>
  <c r="E81" i="2"/>
  <c r="E104" i="2"/>
  <c r="F104" i="2"/>
  <c r="I73" i="15"/>
  <c r="H98" i="2"/>
  <c r="C91" i="2"/>
  <c r="H91" i="2"/>
  <c r="H339" i="1"/>
  <c r="H353" i="1"/>
  <c r="I93" i="15"/>
  <c r="L572" i="1"/>
  <c r="C128" i="2"/>
  <c r="H128" i="2"/>
  <c r="C39" i="10"/>
  <c r="L409" i="1"/>
  <c r="J51" i="1"/>
  <c r="F31" i="2"/>
  <c r="F51" i="2"/>
  <c r="I589" i="1"/>
  <c r="H8" i="2"/>
  <c r="I80" i="15"/>
  <c r="G670" i="1"/>
  <c r="G673" i="1" s="1"/>
  <c r="C5" i="10" s="1"/>
  <c r="H16" i="2"/>
  <c r="C50" i="2"/>
  <c r="H96" i="2"/>
  <c r="H77" i="2"/>
  <c r="D31" i="2"/>
  <c r="D51" i="2"/>
  <c r="H23" i="2"/>
  <c r="H36" i="2"/>
  <c r="H44" i="2"/>
  <c r="H48" i="2"/>
  <c r="I71" i="15"/>
  <c r="D33" i="13"/>
  <c r="D36" i="13" s="1"/>
  <c r="C70" i="2"/>
  <c r="G163" i="2"/>
  <c r="E31" i="2"/>
  <c r="E51" i="2"/>
  <c r="K552" i="1"/>
  <c r="T75" i="15"/>
  <c r="T72" i="15"/>
  <c r="AE95" i="15"/>
  <c r="AE89" i="15"/>
  <c r="AE90" i="15"/>
  <c r="AE78" i="15"/>
  <c r="S2" i="14"/>
  <c r="I327" i="15"/>
  <c r="AE32" i="15"/>
  <c r="AE64" i="15"/>
  <c r="AE29" i="15"/>
  <c r="AE4" i="15"/>
  <c r="AE18" i="15"/>
  <c r="AE50" i="15"/>
  <c r="AE47" i="15"/>
  <c r="AE39" i="15"/>
  <c r="T8" i="15"/>
  <c r="T40" i="15"/>
  <c r="T9" i="15"/>
  <c r="T41" i="15"/>
  <c r="T30" i="15"/>
  <c r="T59" i="15"/>
  <c r="T19" i="15"/>
  <c r="T62" i="15"/>
  <c r="T74" i="15"/>
  <c r="AE86" i="15"/>
  <c r="AE98" i="15"/>
  <c r="AE97" i="15"/>
  <c r="AE74" i="15"/>
  <c r="I326" i="15"/>
  <c r="I331" i="15"/>
  <c r="AE36" i="15"/>
  <c r="AE68" i="15"/>
  <c r="AE33" i="15"/>
  <c r="AE21" i="15"/>
  <c r="AE22" i="15"/>
  <c r="AE54" i="15"/>
  <c r="AE63" i="15"/>
  <c r="AE55" i="15"/>
  <c r="T12" i="15"/>
  <c r="T44" i="15"/>
  <c r="T13" i="15"/>
  <c r="T45" i="15"/>
  <c r="T38" i="15"/>
  <c r="T7" i="15"/>
  <c r="T27" i="15"/>
  <c r="T58" i="15"/>
  <c r="I34" i="15"/>
  <c r="I66" i="15"/>
  <c r="I98" i="15"/>
  <c r="I27" i="15"/>
  <c r="I59" i="15"/>
  <c r="I91" i="15"/>
  <c r="I123" i="15"/>
  <c r="I155" i="15"/>
  <c r="I187" i="15"/>
  <c r="I219" i="15"/>
  <c r="I251" i="15"/>
  <c r="I36" i="15"/>
  <c r="I68" i="15"/>
  <c r="I100" i="15"/>
  <c r="I132" i="15"/>
  <c r="I164" i="15"/>
  <c r="I196" i="15"/>
  <c r="I228" i="15"/>
  <c r="I45" i="15"/>
  <c r="I141" i="15"/>
  <c r="I205" i="15"/>
  <c r="I260" i="15"/>
  <c r="I292" i="15"/>
  <c r="I324" i="15"/>
  <c r="I114" i="15"/>
  <c r="I178" i="15"/>
  <c r="I255" i="15"/>
  <c r="I17" i="15"/>
  <c r="I126" i="15"/>
  <c r="I190" i="15"/>
  <c r="I253" i="15"/>
  <c r="I285" i="15"/>
  <c r="I317" i="15"/>
  <c r="I323" i="15"/>
  <c r="I113" i="15"/>
  <c r="I177" i="15"/>
  <c r="I241" i="15"/>
  <c r="I278" i="15"/>
  <c r="I310" i="15"/>
  <c r="I299" i="15"/>
  <c r="T69" i="15"/>
  <c r="T70" i="15"/>
  <c r="AE93" i="15"/>
  <c r="AE94" i="15"/>
  <c r="AE75" i="15"/>
  <c r="AE76" i="15"/>
  <c r="I328" i="15"/>
  <c r="AE8" i="15"/>
  <c r="AE40" i="15"/>
  <c r="AE72" i="15"/>
  <c r="AE37" i="15"/>
  <c r="AE45" i="15"/>
  <c r="AE26" i="15"/>
  <c r="AE58" i="15"/>
  <c r="AE19" i="15"/>
  <c r="AE71" i="15"/>
  <c r="T16" i="15"/>
  <c r="T48" i="15"/>
  <c r="T17" i="15"/>
  <c r="T49" i="15"/>
  <c r="T46" i="15"/>
  <c r="T15" i="15"/>
  <c r="T43" i="15"/>
  <c r="I6" i="15"/>
  <c r="I38" i="15"/>
  <c r="I70" i="15"/>
  <c r="I102" i="15"/>
  <c r="I31" i="15"/>
  <c r="I63" i="15"/>
  <c r="I95" i="15"/>
  <c r="I127" i="15"/>
  <c r="I159" i="15"/>
  <c r="I191" i="15"/>
  <c r="I223" i="15"/>
  <c r="I8" i="15"/>
  <c r="I40" i="15"/>
  <c r="I72" i="15"/>
  <c r="I104" i="15"/>
  <c r="I136" i="15"/>
  <c r="I168" i="15"/>
  <c r="I200" i="15"/>
  <c r="I232" i="15"/>
  <c r="I61" i="15"/>
  <c r="I149" i="15"/>
  <c r="I213" i="15"/>
  <c r="I264" i="15"/>
  <c r="I296" i="15"/>
  <c r="I9" i="15"/>
  <c r="I122" i="15"/>
  <c r="I186" i="15"/>
  <c r="I259" i="15"/>
  <c r="I33" i="15"/>
  <c r="I134" i="15"/>
  <c r="I198" i="15"/>
  <c r="I257" i="15"/>
  <c r="I289" i="15"/>
  <c r="I321" i="15"/>
  <c r="I5" i="15"/>
  <c r="I121" i="15"/>
  <c r="I185" i="15"/>
  <c r="I249" i="15"/>
  <c r="I282" i="15"/>
  <c r="I314" i="15"/>
  <c r="I311" i="15"/>
  <c r="T64" i="15"/>
  <c r="T65" i="15"/>
  <c r="T77" i="15"/>
  <c r="AE100" i="15"/>
  <c r="AE101" i="15"/>
  <c r="AE73" i="15"/>
  <c r="AE77" i="15"/>
  <c r="I334" i="15"/>
  <c r="AE20" i="15"/>
  <c r="AE52" i="15"/>
  <c r="AE13" i="15"/>
  <c r="AE53" i="15"/>
  <c r="AE6" i="15"/>
  <c r="AE38" i="15"/>
  <c r="AE70" i="15"/>
  <c r="AE67" i="15"/>
  <c r="AE43" i="15"/>
  <c r="T28" i="15"/>
  <c r="T60" i="15"/>
  <c r="T29" i="15"/>
  <c r="T6" i="15"/>
  <c r="T11" i="15"/>
  <c r="T39" i="15"/>
  <c r="T26" i="15"/>
  <c r="I18" i="15"/>
  <c r="I50" i="15"/>
  <c r="I82" i="15"/>
  <c r="I11" i="15"/>
  <c r="I43" i="15"/>
  <c r="I75" i="15"/>
  <c r="I107" i="15"/>
  <c r="I139" i="15"/>
  <c r="I171" i="15"/>
  <c r="I203" i="15"/>
  <c r="I235" i="15"/>
  <c r="I20" i="15"/>
  <c r="I52" i="15"/>
  <c r="T71" i="15"/>
  <c r="T76" i="15"/>
  <c r="T79" i="15"/>
  <c r="AE102" i="15"/>
  <c r="AE103" i="15"/>
  <c r="AF103" i="15"/>
  <c r="AE80" i="15"/>
  <c r="AE84" i="15"/>
  <c r="I329" i="15"/>
  <c r="AE24" i="15"/>
  <c r="AE56" i="15"/>
  <c r="AE17" i="15"/>
  <c r="AE61" i="15"/>
  <c r="AE10" i="15"/>
  <c r="AE42" i="15"/>
  <c r="AE15" i="15"/>
  <c r="AE7" i="15"/>
  <c r="AE59" i="15"/>
  <c r="T32" i="15"/>
  <c r="T4" i="15"/>
  <c r="T33" i="15"/>
  <c r="T14" i="15"/>
  <c r="T35" i="15"/>
  <c r="T47" i="15"/>
  <c r="T34" i="15"/>
  <c r="I22" i="15"/>
  <c r="I54" i="15"/>
  <c r="I86" i="15"/>
  <c r="I15" i="15"/>
  <c r="I47" i="15"/>
  <c r="I79" i="15"/>
  <c r="I111" i="15"/>
  <c r="I143" i="15"/>
  <c r="I175" i="15"/>
  <c r="I207" i="15"/>
  <c r="I239" i="15"/>
  <c r="I24" i="15"/>
  <c r="I56" i="15"/>
  <c r="I88" i="15"/>
  <c r="I120" i="15"/>
  <c r="I152" i="15"/>
  <c r="I184" i="15"/>
  <c r="AE96" i="15"/>
  <c r="AE81" i="15"/>
  <c r="AE16" i="15"/>
  <c r="AE41" i="15"/>
  <c r="AE46" i="15"/>
  <c r="AE27" i="15"/>
  <c r="T21" i="15"/>
  <c r="T51" i="15"/>
  <c r="I10" i="15"/>
  <c r="I74" i="15"/>
  <c r="I35" i="15"/>
  <c r="I99" i="15"/>
  <c r="I163" i="15"/>
  <c r="I227" i="15"/>
  <c r="I44" i="15"/>
  <c r="I96" i="15"/>
  <c r="I148" i="15"/>
  <c r="I204" i="15"/>
  <c r="I244" i="15"/>
  <c r="I125" i="15"/>
  <c r="I221" i="15"/>
  <c r="I276" i="15"/>
  <c r="I316" i="15"/>
  <c r="I130" i="15"/>
  <c r="I210" i="15"/>
  <c r="I303" i="15"/>
  <c r="I142" i="15"/>
  <c r="I222" i="15"/>
  <c r="I277" i="15"/>
  <c r="I325" i="15"/>
  <c r="I53" i="15"/>
  <c r="I161" i="15"/>
  <c r="I254" i="15"/>
  <c r="I294" i="15"/>
  <c r="I271" i="15"/>
  <c r="T73" i="15"/>
  <c r="AE91" i="15"/>
  <c r="AE85" i="15"/>
  <c r="AE28" i="15"/>
  <c r="AE49" i="15"/>
  <c r="AE62" i="15"/>
  <c r="T25" i="15"/>
  <c r="T23" i="15"/>
  <c r="I14" i="15"/>
  <c r="I78" i="15"/>
  <c r="I39" i="15"/>
  <c r="I103" i="15"/>
  <c r="I167" i="15"/>
  <c r="I231" i="15"/>
  <c r="I48" i="15"/>
  <c r="I108" i="15"/>
  <c r="I156" i="15"/>
  <c r="I208" i="15"/>
  <c r="I248" i="15"/>
  <c r="I133" i="15"/>
  <c r="I229" i="15"/>
  <c r="I280" i="15"/>
  <c r="I320" i="15"/>
  <c r="I138" i="15"/>
  <c r="I218" i="15"/>
  <c r="I315" i="15"/>
  <c r="I150" i="15"/>
  <c r="I230" i="15"/>
  <c r="I281" i="15"/>
  <c r="I226" i="15"/>
  <c r="I69" i="15"/>
  <c r="I169" i="15"/>
  <c r="I258" i="15"/>
  <c r="I298" i="15"/>
  <c r="I287" i="15"/>
  <c r="T67" i="15"/>
  <c r="AE87" i="15"/>
  <c r="AE79" i="15"/>
  <c r="AE44" i="15"/>
  <c r="AE69" i="15"/>
  <c r="AE66" i="15"/>
  <c r="T20" i="15"/>
  <c r="T37" i="15"/>
  <c r="T31" i="15"/>
  <c r="I26" i="15"/>
  <c r="I90" i="15"/>
  <c r="I51" i="15"/>
  <c r="I115" i="15"/>
  <c r="I179" i="15"/>
  <c r="I243" i="15"/>
  <c r="I60" i="15"/>
  <c r="I112" i="15"/>
  <c r="I160" i="15"/>
  <c r="I212" i="15"/>
  <c r="I13" i="15"/>
  <c r="I157" i="15"/>
  <c r="I237" i="15"/>
  <c r="I284" i="15"/>
  <c r="I25" i="15"/>
  <c r="I146" i="15"/>
  <c r="I234" i="15"/>
  <c r="I49" i="15"/>
  <c r="I158" i="15"/>
  <c r="I238" i="15"/>
  <c r="I293" i="15"/>
  <c r="I267" i="15"/>
  <c r="I85" i="15"/>
  <c r="I193" i="15"/>
  <c r="I262" i="15"/>
  <c r="I302" i="15"/>
  <c r="I319" i="15"/>
  <c r="T78" i="15"/>
  <c r="AE92" i="15"/>
  <c r="AE99" i="15"/>
  <c r="AF92" i="15"/>
  <c r="AE48" i="15"/>
  <c r="AE57" i="15"/>
  <c r="AE31" i="15"/>
  <c r="T24" i="15"/>
  <c r="T53" i="15"/>
  <c r="T55" i="15"/>
  <c r="I30" i="15"/>
  <c r="I94" i="15"/>
  <c r="I55" i="15"/>
  <c r="I119" i="15"/>
  <c r="I183" i="15"/>
  <c r="I247" i="15"/>
  <c r="I64" i="15"/>
  <c r="I116" i="15"/>
  <c r="I172" i="15"/>
  <c r="I216" i="15"/>
  <c r="I29" i="15"/>
  <c r="I165" i="15"/>
  <c r="I245" i="15"/>
  <c r="I288" i="15"/>
  <c r="I41" i="15"/>
  <c r="I154" i="15"/>
  <c r="I250" i="15"/>
  <c r="I65" i="15"/>
  <c r="I166" i="15"/>
  <c r="I246" i="15"/>
  <c r="I297" i="15"/>
  <c r="I283" i="15"/>
  <c r="I101" i="15"/>
  <c r="I201" i="15"/>
  <c r="I266" i="15"/>
  <c r="I306" i="15"/>
  <c r="AE83" i="15"/>
  <c r="AE25" i="15"/>
  <c r="AE11" i="15"/>
  <c r="T61" i="15"/>
  <c r="I62" i="15"/>
  <c r="I87" i="15"/>
  <c r="I215" i="15"/>
  <c r="I92" i="15"/>
  <c r="I192" i="15"/>
  <c r="I117" i="15"/>
  <c r="I272" i="15"/>
  <c r="I105" i="15"/>
  <c r="I291" i="15"/>
  <c r="I214" i="15"/>
  <c r="I313" i="15"/>
  <c r="I153" i="15"/>
  <c r="I290" i="15"/>
  <c r="T63" i="15"/>
  <c r="I330" i="15"/>
  <c r="AE65" i="15"/>
  <c r="T36" i="15"/>
  <c r="T10" i="15"/>
  <c r="I106" i="15"/>
  <c r="I131" i="15"/>
  <c r="I12" i="15"/>
  <c r="I124" i="15"/>
  <c r="I220" i="15"/>
  <c r="I173" i="15"/>
  <c r="I300" i="15"/>
  <c r="I162" i="15"/>
  <c r="I81" i="15"/>
  <c r="I261" i="15"/>
  <c r="I295" i="15"/>
  <c r="I209" i="15"/>
  <c r="I318" i="15"/>
  <c r="T66" i="15"/>
  <c r="I332" i="15"/>
  <c r="AE14" i="15"/>
  <c r="T52" i="15"/>
  <c r="T18" i="15"/>
  <c r="I7" i="15"/>
  <c r="I135" i="15"/>
  <c r="I16" i="15"/>
  <c r="I128" i="15"/>
  <c r="I224" i="15"/>
  <c r="I181" i="15"/>
  <c r="I304" i="15"/>
  <c r="I170" i="15"/>
  <c r="I97" i="15"/>
  <c r="I265" i="15"/>
  <c r="I307" i="15"/>
  <c r="I217" i="15"/>
  <c r="I322" i="15"/>
  <c r="T68" i="15"/>
  <c r="I333" i="15"/>
  <c r="AE30" i="15"/>
  <c r="T56" i="15"/>
  <c r="T42" i="15"/>
  <c r="I19" i="15"/>
  <c r="I147" i="15"/>
  <c r="I28" i="15"/>
  <c r="I140" i="15"/>
  <c r="I236" i="15"/>
  <c r="I189" i="15"/>
  <c r="I308" i="15"/>
  <c r="I194" i="15"/>
  <c r="I110" i="15"/>
  <c r="I269" i="15"/>
  <c r="I21" i="15"/>
  <c r="I225" i="15"/>
  <c r="I4" i="15"/>
  <c r="AE9" i="15"/>
  <c r="AE12" i="15"/>
  <c r="AE23" i="15"/>
  <c r="AE34" i="15"/>
  <c r="AE35" i="15"/>
  <c r="AE51" i="15"/>
  <c r="AE60" i="15"/>
  <c r="AE82" i="15"/>
  <c r="AE88" i="15"/>
  <c r="AF9" i="15"/>
  <c r="T54" i="15"/>
  <c r="I83" i="15"/>
  <c r="I84" i="15"/>
  <c r="I109" i="15"/>
  <c r="I89" i="15"/>
  <c r="I206" i="15"/>
  <c r="I145" i="15"/>
  <c r="AF88" i="15"/>
  <c r="T50" i="15"/>
  <c r="I151" i="15"/>
  <c r="I144" i="15"/>
  <c r="I197" i="15"/>
  <c r="I202" i="15"/>
  <c r="I273" i="15"/>
  <c r="I233" i="15"/>
  <c r="I42" i="15"/>
  <c r="I195" i="15"/>
  <c r="I176" i="15"/>
  <c r="I252" i="15"/>
  <c r="I263" i="15"/>
  <c r="I301" i="15"/>
  <c r="I270" i="15"/>
  <c r="I46" i="15"/>
  <c r="I199" i="15"/>
  <c r="I180" i="15"/>
  <c r="I256" i="15"/>
  <c r="I275" i="15"/>
  <c r="I305" i="15"/>
  <c r="I274" i="15"/>
  <c r="I58" i="15"/>
  <c r="I211" i="15"/>
  <c r="I188" i="15"/>
  <c r="I268" i="15"/>
  <c r="I279" i="15"/>
  <c r="I309" i="15"/>
  <c r="I286" i="15"/>
  <c r="T5" i="15"/>
  <c r="I23" i="15"/>
  <c r="I32" i="15"/>
  <c r="I240" i="15"/>
  <c r="I312" i="15"/>
  <c r="I118" i="15"/>
  <c r="I37" i="15"/>
  <c r="I242" i="15"/>
  <c r="T57" i="15"/>
  <c r="I67" i="15"/>
  <c r="I76" i="15"/>
  <c r="I77" i="15"/>
  <c r="I57" i="15"/>
  <c r="I174" i="15"/>
  <c r="I129" i="15"/>
  <c r="G18" i="2"/>
  <c r="H18" i="2"/>
  <c r="C115" i="2"/>
  <c r="H85" i="2"/>
  <c r="D70" i="2"/>
  <c r="D81" i="2"/>
  <c r="D104" i="2"/>
  <c r="H69" i="2"/>
  <c r="K550" i="1"/>
  <c r="K553" i="1"/>
  <c r="H553" i="1"/>
  <c r="AE5" i="15"/>
  <c r="I182" i="15"/>
  <c r="J640" i="1"/>
  <c r="J620" i="1"/>
  <c r="H13" i="2"/>
  <c r="H11" i="2"/>
  <c r="C58" i="2"/>
  <c r="F112" i="1"/>
  <c r="F194" i="1"/>
  <c r="G628" i="1"/>
  <c r="J628" i="1"/>
  <c r="I137" i="15"/>
  <c r="AF66" i="15"/>
  <c r="AF52" i="15"/>
  <c r="AF32" i="15"/>
  <c r="C51" i="2"/>
  <c r="H51" i="2"/>
  <c r="H50" i="2"/>
  <c r="AF43" i="15"/>
  <c r="AF36" i="15"/>
  <c r="AF39" i="15"/>
  <c r="J52" i="1"/>
  <c r="H622" i="1"/>
  <c r="J622" i="1"/>
  <c r="G627" i="1"/>
  <c r="AF102" i="15"/>
  <c r="AF40" i="15"/>
  <c r="C145" i="2"/>
  <c r="H115" i="2"/>
  <c r="AF14" i="15"/>
  <c r="AF44" i="15"/>
  <c r="AF81" i="15"/>
  <c r="U56" i="15"/>
  <c r="U10" i="15"/>
  <c r="A33" i="14" a="1"/>
  <c r="A33" i="14"/>
  <c r="U74" i="15"/>
  <c r="U68" i="15"/>
  <c r="U21" i="15"/>
  <c r="U9" i="15"/>
  <c r="A32" i="14" a="1"/>
  <c r="A32" i="14"/>
  <c r="U8" i="15"/>
  <c r="A31" i="14" a="1"/>
  <c r="A31" i="14"/>
  <c r="U72" i="15"/>
  <c r="U26" i="15"/>
  <c r="U20" i="15"/>
  <c r="U33" i="15"/>
  <c r="U37" i="15"/>
  <c r="U43" i="15"/>
  <c r="U54" i="15"/>
  <c r="U15" i="15"/>
  <c r="U79" i="15"/>
  <c r="U4" i="15"/>
  <c r="A27" i="14" a="1"/>
  <c r="A27" i="14"/>
  <c r="U50" i="15"/>
  <c r="U60" i="15"/>
  <c r="U45" i="15"/>
  <c r="U14" i="15"/>
  <c r="U25" i="15"/>
  <c r="U55" i="15"/>
  <c r="U17" i="15"/>
  <c r="U58" i="15"/>
  <c r="U76" i="15"/>
  <c r="U53" i="15"/>
  <c r="U22" i="15"/>
  <c r="U73" i="15"/>
  <c r="U63" i="15"/>
  <c r="U16" i="15"/>
  <c r="U57" i="15"/>
  <c r="U66" i="15"/>
  <c r="U65" i="15"/>
  <c r="U61" i="15"/>
  <c r="U30" i="15"/>
  <c r="U11" i="15"/>
  <c r="U71" i="15"/>
  <c r="U24" i="15"/>
  <c r="U35" i="15"/>
  <c r="U12" i="15"/>
  <c r="U27" i="15"/>
  <c r="U69" i="15"/>
  <c r="U38" i="15"/>
  <c r="U7" i="15"/>
  <c r="A30" i="14" a="1"/>
  <c r="A30" i="14"/>
  <c r="U41" i="15"/>
  <c r="U42" i="15"/>
  <c r="U29" i="15"/>
  <c r="U78" i="15"/>
  <c r="U32" i="15"/>
  <c r="U28" i="15"/>
  <c r="U77" i="15"/>
  <c r="U23" i="15"/>
  <c r="U40" i="15"/>
  <c r="U36" i="15"/>
  <c r="U49" i="15"/>
  <c r="U31" i="15"/>
  <c r="U48" i="15"/>
  <c r="U44" i="15"/>
  <c r="U67" i="15"/>
  <c r="U39" i="15"/>
  <c r="U64" i="15"/>
  <c r="U52" i="15"/>
  <c r="U6" i="15"/>
  <c r="A29" i="14" a="1"/>
  <c r="A29" i="14"/>
  <c r="U47" i="15"/>
  <c r="U75" i="15"/>
  <c r="U59" i="15"/>
  <c r="U46" i="15"/>
  <c r="U19" i="15"/>
  <c r="U18" i="15"/>
  <c r="U5" i="15"/>
  <c r="A28" i="14" a="1"/>
  <c r="A28" i="14"/>
  <c r="U62" i="15"/>
  <c r="U51" i="15"/>
  <c r="U34" i="15"/>
  <c r="U13" i="15"/>
  <c r="U70" i="15"/>
  <c r="AF17" i="15"/>
  <c r="AF67" i="15"/>
  <c r="AF71" i="15"/>
  <c r="AF8" i="15"/>
  <c r="A44" i="14" a="1"/>
  <c r="A44" i="14"/>
  <c r="AF55" i="15"/>
  <c r="AF47" i="15"/>
  <c r="H647" i="1"/>
  <c r="J647" i="1"/>
  <c r="G638" i="1"/>
  <c r="J638" i="1"/>
  <c r="H31" i="2"/>
  <c r="AF16" i="15"/>
  <c r="AF79" i="15"/>
  <c r="AF62" i="15"/>
  <c r="AF96" i="15"/>
  <c r="AF56" i="15"/>
  <c r="AF70" i="15"/>
  <c r="AF77" i="15"/>
  <c r="AF19" i="15"/>
  <c r="AF63" i="15"/>
  <c r="AF50" i="15"/>
  <c r="AF78" i="15"/>
  <c r="F673" i="1"/>
  <c r="C4" i="10" s="1"/>
  <c r="AF72" i="15"/>
  <c r="AF5" i="15"/>
  <c r="A41" i="14" a="1"/>
  <c r="A41" i="14"/>
  <c r="D20" i="10"/>
  <c r="C30" i="10"/>
  <c r="D11" i="10"/>
  <c r="D13" i="10"/>
  <c r="D15" i="10"/>
  <c r="D26" i="10"/>
  <c r="D16" i="10"/>
  <c r="D23" i="10"/>
  <c r="D22" i="10"/>
  <c r="D17" i="10"/>
  <c r="D19" i="10"/>
  <c r="D24" i="10"/>
  <c r="D21" i="10"/>
  <c r="D10" i="10"/>
  <c r="AF60" i="15"/>
  <c r="AF65" i="15"/>
  <c r="AF87" i="15"/>
  <c r="AF49" i="15"/>
  <c r="AF59" i="15"/>
  <c r="AF24" i="15"/>
  <c r="AF38" i="15"/>
  <c r="AF73" i="15"/>
  <c r="AF58" i="15"/>
  <c r="AF76" i="15"/>
  <c r="AF54" i="15"/>
  <c r="AF74" i="15"/>
  <c r="AF18" i="15"/>
  <c r="AF90" i="15"/>
  <c r="H70" i="2"/>
  <c r="C81" i="2"/>
  <c r="H81" i="2"/>
  <c r="C36" i="10"/>
  <c r="D12" i="10"/>
  <c r="AF30" i="15"/>
  <c r="AF41" i="15"/>
  <c r="J28" i="15"/>
  <c r="J92" i="15"/>
  <c r="J156" i="15"/>
  <c r="J220" i="15"/>
  <c r="J284" i="15"/>
  <c r="J61" i="15"/>
  <c r="J71" i="15"/>
  <c r="J22" i="15"/>
  <c r="J86" i="15"/>
  <c r="J150" i="15"/>
  <c r="J214" i="15"/>
  <c r="J278" i="15"/>
  <c r="J8" i="15"/>
  <c r="A10" i="14" a="1"/>
  <c r="A10" i="14"/>
  <c r="J72" i="15"/>
  <c r="J136" i="15"/>
  <c r="J200" i="15"/>
  <c r="J264" i="15"/>
  <c r="J68" i="15"/>
  <c r="J140" i="15"/>
  <c r="J212" i="15"/>
  <c r="J292" i="15"/>
  <c r="J149" i="15"/>
  <c r="J207" i="15"/>
  <c r="J54" i="15"/>
  <c r="J126" i="15"/>
  <c r="J198" i="15"/>
  <c r="J270" i="15"/>
  <c r="J16" i="15"/>
  <c r="A18" i="14" a="1"/>
  <c r="A18" i="14"/>
  <c r="J88" i="15"/>
  <c r="J160" i="15"/>
  <c r="J232" i="15"/>
  <c r="J304" i="15"/>
  <c r="J173" i="15"/>
  <c r="J143" i="15"/>
  <c r="J49" i="15"/>
  <c r="J113" i="15"/>
  <c r="J177" i="15"/>
  <c r="J241" i="15"/>
  <c r="J305" i="15"/>
  <c r="J165" i="15"/>
  <c r="J151" i="15"/>
  <c r="J42" i="15"/>
  <c r="J106" i="15"/>
  <c r="J170" i="15"/>
  <c r="J234" i="15"/>
  <c r="J298" i="15"/>
  <c r="J141" i="15"/>
  <c r="J135" i="15"/>
  <c r="J43" i="15"/>
  <c r="J107" i="15"/>
  <c r="J171" i="15"/>
  <c r="J235" i="15"/>
  <c r="J299" i="15"/>
  <c r="J157" i="15"/>
  <c r="J127" i="15"/>
  <c r="J319" i="15"/>
  <c r="J76" i="15"/>
  <c r="J148" i="15"/>
  <c r="J228" i="15"/>
  <c r="J300" i="15"/>
  <c r="J189" i="15"/>
  <c r="J247" i="15"/>
  <c r="J62" i="15"/>
  <c r="J134" i="15"/>
  <c r="J12" i="15"/>
  <c r="A14" i="14" a="1"/>
  <c r="A14" i="14"/>
  <c r="J84" i="15"/>
  <c r="J164" i="15"/>
  <c r="J236" i="15"/>
  <c r="J308" i="15"/>
  <c r="J229" i="15"/>
  <c r="J287" i="15"/>
  <c r="J70" i="15"/>
  <c r="J142" i="15"/>
  <c r="J222" i="15"/>
  <c r="J294" i="15"/>
  <c r="J32" i="15"/>
  <c r="J104" i="15"/>
  <c r="J176" i="15"/>
  <c r="J248" i="15"/>
  <c r="J320" i="15"/>
  <c r="J253" i="15"/>
  <c r="J231" i="15"/>
  <c r="J65" i="15"/>
  <c r="J129" i="15"/>
  <c r="J193" i="15"/>
  <c r="J257" i="15"/>
  <c r="J321" i="15"/>
  <c r="J245" i="15"/>
  <c r="J223" i="15"/>
  <c r="J58" i="15"/>
  <c r="J122" i="15"/>
  <c r="J186" i="15"/>
  <c r="J250" i="15"/>
  <c r="J314" i="15"/>
  <c r="J221" i="15"/>
  <c r="J215" i="15"/>
  <c r="J59" i="15"/>
  <c r="J123" i="15"/>
  <c r="J187" i="15"/>
  <c r="J251" i="15"/>
  <c r="J315" i="15"/>
  <c r="J237" i="15"/>
  <c r="J199" i="15"/>
  <c r="J4" i="15"/>
  <c r="A6" i="14" a="1"/>
  <c r="A6" i="14"/>
  <c r="J20" i="15"/>
  <c r="J100" i="15"/>
  <c r="J172" i="15"/>
  <c r="J244" i="15"/>
  <c r="J316" i="15"/>
  <c r="J269" i="15"/>
  <c r="J124" i="15"/>
  <c r="J268" i="15"/>
  <c r="J119" i="15"/>
  <c r="J94" i="15"/>
  <c r="J190" i="15"/>
  <c r="J302" i="15"/>
  <c r="J56" i="15"/>
  <c r="J152" i="15"/>
  <c r="J256" i="15"/>
  <c r="J69" i="15"/>
  <c r="J103" i="15"/>
  <c r="J73" i="15"/>
  <c r="J153" i="15"/>
  <c r="J233" i="15"/>
  <c r="J329" i="15"/>
  <c r="J31" i="15"/>
  <c r="J34" i="15"/>
  <c r="J130" i="15"/>
  <c r="J210" i="15"/>
  <c r="J290" i="15"/>
  <c r="J261" i="15"/>
  <c r="J19" i="15"/>
  <c r="J99" i="15"/>
  <c r="J195" i="15"/>
  <c r="J275" i="15"/>
  <c r="J117" i="15"/>
  <c r="J239" i="15"/>
  <c r="J132" i="15"/>
  <c r="J276" i="15"/>
  <c r="J167" i="15"/>
  <c r="J102" i="15"/>
  <c r="J206" i="15"/>
  <c r="J310" i="15"/>
  <c r="J64" i="15"/>
  <c r="J168" i="15"/>
  <c r="J272" i="15"/>
  <c r="J93" i="15"/>
  <c r="J183" i="15"/>
  <c r="J81" i="15"/>
  <c r="J161" i="15"/>
  <c r="J249" i="15"/>
  <c r="J5" i="15"/>
  <c r="A7" i="14" a="1"/>
  <c r="A7" i="14"/>
  <c r="J79" i="15"/>
  <c r="J50" i="15"/>
  <c r="J138" i="15"/>
  <c r="J218" i="15"/>
  <c r="J306" i="15"/>
  <c r="J301" i="15"/>
  <c r="J27" i="15"/>
  <c r="J115" i="15"/>
  <c r="J203" i="15"/>
  <c r="J283" i="15"/>
  <c r="J197" i="15"/>
  <c r="J271" i="15"/>
  <c r="J36" i="15"/>
  <c r="J180" i="15"/>
  <c r="J324" i="15"/>
  <c r="J6" i="15"/>
  <c r="A8" i="14" a="1"/>
  <c r="A8" i="14"/>
  <c r="J110" i="15"/>
  <c r="J230" i="15"/>
  <c r="J318" i="15"/>
  <c r="J80" i="15"/>
  <c r="J184" i="15"/>
  <c r="J280" i="15"/>
  <c r="J133" i="15"/>
  <c r="J9" i="15"/>
  <c r="A11" i="14" a="1"/>
  <c r="A11" i="14"/>
  <c r="J89" i="15"/>
  <c r="J169" i="15"/>
  <c r="J265" i="15"/>
  <c r="J45" i="15"/>
  <c r="J111" i="15"/>
  <c r="J66" i="15"/>
  <c r="J146" i="15"/>
  <c r="J226" i="15"/>
  <c r="J322" i="15"/>
  <c r="J7" i="15"/>
  <c r="A9" i="14" a="1"/>
  <c r="A9" i="14"/>
  <c r="J35" i="15"/>
  <c r="J131" i="15"/>
  <c r="J211" i="15"/>
  <c r="J291" i="15"/>
  <c r="J277" i="15"/>
  <c r="J279" i="15"/>
  <c r="J44" i="15"/>
  <c r="J188" i="15"/>
  <c r="J332" i="15"/>
  <c r="J14" i="15"/>
  <c r="A16" i="14" a="1"/>
  <c r="A16" i="14"/>
  <c r="J118" i="15"/>
  <c r="J238" i="15"/>
  <c r="J326" i="15"/>
  <c r="J96" i="15"/>
  <c r="J192" i="15"/>
  <c r="J288" i="15"/>
  <c r="J213" i="15"/>
  <c r="J17" i="15"/>
  <c r="A19" i="14" a="1"/>
  <c r="A19" i="14"/>
  <c r="J97" i="15"/>
  <c r="J185" i="15"/>
  <c r="J273" i="15"/>
  <c r="J85" i="15"/>
  <c r="J191" i="15"/>
  <c r="J74" i="15"/>
  <c r="J154" i="15"/>
  <c r="J242" i="15"/>
  <c r="J330" i="15"/>
  <c r="J55" i="15"/>
  <c r="J51" i="15"/>
  <c r="J139" i="15"/>
  <c r="J219" i="15"/>
  <c r="J307" i="15"/>
  <c r="J317" i="15"/>
  <c r="J295" i="15"/>
  <c r="J116" i="15"/>
  <c r="J39" i="15"/>
  <c r="J182" i="15"/>
  <c r="J48" i="15"/>
  <c r="J240" i="15"/>
  <c r="J63" i="15"/>
  <c r="J145" i="15"/>
  <c r="J313" i="15"/>
  <c r="J26" i="15"/>
  <c r="J202" i="15"/>
  <c r="J181" i="15"/>
  <c r="J91" i="15"/>
  <c r="J267" i="15"/>
  <c r="J159" i="15"/>
  <c r="J196" i="15"/>
  <c r="J30" i="15"/>
  <c r="J246" i="15"/>
  <c r="J112" i="15"/>
  <c r="J296" i="15"/>
  <c r="J25" i="15"/>
  <c r="J201" i="15"/>
  <c r="J125" i="15"/>
  <c r="J82" i="15"/>
  <c r="J258" i="15"/>
  <c r="J95" i="15"/>
  <c r="J147" i="15"/>
  <c r="J323" i="15"/>
  <c r="J303" i="15"/>
  <c r="J204" i="15"/>
  <c r="J38" i="15"/>
  <c r="J254" i="15"/>
  <c r="J120" i="15"/>
  <c r="J312" i="15"/>
  <c r="J33" i="15"/>
  <c r="J209" i="15"/>
  <c r="J205" i="15"/>
  <c r="J90" i="15"/>
  <c r="J266" i="15"/>
  <c r="J175" i="15"/>
  <c r="J155" i="15"/>
  <c r="J331" i="15"/>
  <c r="J311" i="15"/>
  <c r="J252" i="15"/>
  <c r="J46" i="15"/>
  <c r="J262" i="15"/>
  <c r="J128" i="15"/>
  <c r="J328" i="15"/>
  <c r="J41" i="15"/>
  <c r="J217" i="15"/>
  <c r="J285" i="15"/>
  <c r="J98" i="15"/>
  <c r="J274" i="15"/>
  <c r="J255" i="15"/>
  <c r="J163" i="15"/>
  <c r="J13" i="15"/>
  <c r="A15" i="14" a="1"/>
  <c r="A15" i="14"/>
  <c r="J327" i="15"/>
  <c r="J260" i="15"/>
  <c r="J78" i="15"/>
  <c r="J286" i="15"/>
  <c r="J144" i="15"/>
  <c r="J29" i="15"/>
  <c r="J57" i="15"/>
  <c r="J225" i="15"/>
  <c r="J325" i="15"/>
  <c r="J114" i="15"/>
  <c r="J282" i="15"/>
  <c r="J11" i="15"/>
  <c r="A13" i="14" a="1"/>
  <c r="A13" i="14"/>
  <c r="J179" i="15"/>
  <c r="J53" i="15"/>
  <c r="J52" i="15"/>
  <c r="J21" i="15"/>
  <c r="J158" i="15"/>
  <c r="J334" i="15"/>
  <c r="J208" i="15"/>
  <c r="J293" i="15"/>
  <c r="J105" i="15"/>
  <c r="J281" i="15"/>
  <c r="J263" i="15"/>
  <c r="J162" i="15"/>
  <c r="J37" i="15"/>
  <c r="J67" i="15"/>
  <c r="J227" i="15"/>
  <c r="J15" i="15"/>
  <c r="A17" i="14" a="1"/>
  <c r="A17" i="14"/>
  <c r="J60" i="15"/>
  <c r="J109" i="15"/>
  <c r="J166" i="15"/>
  <c r="J24" i="15"/>
  <c r="J216" i="15"/>
  <c r="J333" i="15"/>
  <c r="J121" i="15"/>
  <c r="J289" i="15"/>
  <c r="J10" i="15"/>
  <c r="A12" i="14" a="1"/>
  <c r="A12" i="14"/>
  <c r="J178" i="15"/>
  <c r="J77" i="15"/>
  <c r="J75" i="15"/>
  <c r="J243" i="15"/>
  <c r="J47" i="15"/>
  <c r="J23" i="15"/>
  <c r="J87" i="15"/>
  <c r="J40" i="15"/>
  <c r="J259" i="15"/>
  <c r="J137" i="15"/>
  <c r="J297" i="15"/>
  <c r="J108" i="15"/>
  <c r="J18" i="15"/>
  <c r="A20" i="14" a="1"/>
  <c r="A20" i="14"/>
  <c r="J309" i="15"/>
  <c r="J194" i="15"/>
  <c r="J224" i="15"/>
  <c r="J174" i="15"/>
  <c r="J101" i="15"/>
  <c r="J83" i="15"/>
  <c r="AF69" i="15"/>
  <c r="AF61" i="15"/>
  <c r="C62" i="2"/>
  <c r="H58" i="2"/>
  <c r="AF12" i="15"/>
  <c r="AF23" i="15"/>
  <c r="AF11" i="15"/>
  <c r="AF31" i="15"/>
  <c r="AF28" i="15"/>
  <c r="AF7" i="15"/>
  <c r="A43" i="14" a="1"/>
  <c r="A43" i="14"/>
  <c r="AF6" i="15"/>
  <c r="A42" i="14" a="1"/>
  <c r="A42" i="14"/>
  <c r="AF101" i="15"/>
  <c r="AF26" i="15"/>
  <c r="AF75" i="15"/>
  <c r="AF22" i="15"/>
  <c r="AF97" i="15"/>
  <c r="AF4" i="15"/>
  <c r="A40" i="14" a="1"/>
  <c r="A40" i="14"/>
  <c r="AF89" i="15"/>
  <c r="D18" i="10"/>
  <c r="AF10" i="15"/>
  <c r="AF68" i="15"/>
  <c r="AF82" i="15"/>
  <c r="AF51" i="15"/>
  <c r="AF35" i="15"/>
  <c r="AF25" i="15"/>
  <c r="AF57" i="15"/>
  <c r="AF85" i="15"/>
  <c r="AF27" i="15"/>
  <c r="AF15" i="15"/>
  <c r="AF84" i="15"/>
  <c r="AF53" i="15"/>
  <c r="AF100" i="15"/>
  <c r="AF45" i="15"/>
  <c r="AF94" i="15"/>
  <c r="AF21" i="15"/>
  <c r="AF98" i="15"/>
  <c r="AF29" i="15"/>
  <c r="AF95" i="15"/>
  <c r="AF20" i="15"/>
  <c r="AF99" i="15"/>
  <c r="AF34" i="15"/>
  <c r="AF83" i="15"/>
  <c r="AF48" i="15"/>
  <c r="AF91" i="15"/>
  <c r="AF46" i="15"/>
  <c r="AF42" i="15"/>
  <c r="AF80" i="15"/>
  <c r="AF13" i="15"/>
  <c r="AF37" i="15"/>
  <c r="AF93" i="15"/>
  <c r="AF33" i="15"/>
  <c r="AF86" i="15"/>
  <c r="AF64" i="15"/>
  <c r="D25" i="10"/>
  <c r="J11" i="14"/>
  <c r="B11" i="14"/>
  <c r="C11" i="14"/>
  <c r="C42" i="14"/>
  <c r="J42" i="14"/>
  <c r="B42" i="14"/>
  <c r="H62" i="2"/>
  <c r="C63" i="2"/>
  <c r="C41" i="14"/>
  <c r="B41" i="14"/>
  <c r="J41" i="14"/>
  <c r="B30" i="14"/>
  <c r="J30" i="14"/>
  <c r="C30" i="14"/>
  <c r="B8" i="14"/>
  <c r="C8" i="14"/>
  <c r="J8" i="14"/>
  <c r="J13" i="14"/>
  <c r="B13" i="14"/>
  <c r="C13" i="14"/>
  <c r="B20" i="14"/>
  <c r="C20" i="14"/>
  <c r="J20" i="14"/>
  <c r="J10" i="14"/>
  <c r="B10" i="14"/>
  <c r="C10" i="14"/>
  <c r="C41" i="10"/>
  <c r="B7" i="14"/>
  <c r="C7" i="14"/>
  <c r="J7" i="14"/>
  <c r="B28" i="14"/>
  <c r="C28" i="14"/>
  <c r="J28" i="14"/>
  <c r="C40" i="14"/>
  <c r="J40" i="14"/>
  <c r="B40" i="14"/>
  <c r="J19" i="14"/>
  <c r="B19" i="14"/>
  <c r="C19" i="14"/>
  <c r="J16" i="14"/>
  <c r="B16" i="14"/>
  <c r="C16" i="14"/>
  <c r="J18" i="14"/>
  <c r="B18" i="14"/>
  <c r="C18" i="14"/>
  <c r="D28" i="10"/>
  <c r="B6" i="14"/>
  <c r="C6" i="14"/>
  <c r="J6" i="14"/>
  <c r="J32" i="14"/>
  <c r="B32" i="14"/>
  <c r="C32" i="14"/>
  <c r="J15" i="14"/>
  <c r="B15" i="14"/>
  <c r="C15" i="14"/>
  <c r="J33" i="14"/>
  <c r="B33" i="14"/>
  <c r="C33" i="14" a="1"/>
  <c r="C33" i="14"/>
  <c r="J31" i="14"/>
  <c r="C31" i="14"/>
  <c r="B31" i="14"/>
  <c r="C43" i="14"/>
  <c r="J43" i="14"/>
  <c r="B43" i="14"/>
  <c r="B9" i="14"/>
  <c r="C9" i="14"/>
  <c r="J9" i="14"/>
  <c r="B27" i="14"/>
  <c r="C27" i="14"/>
  <c r="J27" i="14"/>
  <c r="J627" i="1"/>
  <c r="H657" i="1"/>
  <c r="B12" i="14"/>
  <c r="C12" i="14"/>
  <c r="J12" i="14"/>
  <c r="B17" i="14"/>
  <c r="C17" i="14"/>
  <c r="J17" i="14"/>
  <c r="B14" i="14"/>
  <c r="C14" i="14"/>
  <c r="J14" i="14"/>
  <c r="C44" i="14"/>
  <c r="B44" i="14"/>
  <c r="J44" i="14"/>
  <c r="J29" i="14"/>
  <c r="B29" i="14"/>
  <c r="C29" i="14"/>
  <c r="D40" i="10"/>
  <c r="D37" i="10"/>
  <c r="D38" i="10"/>
  <c r="D35" i="10"/>
  <c r="D39" i="10"/>
  <c r="H63" i="2"/>
  <c r="C104" i="2"/>
  <c r="H104" i="2"/>
  <c r="D36" i="10"/>
  <c r="D41" i="10"/>
  <c r="F38" i="14" l="1"/>
  <c r="H38" i="14" s="1"/>
  <c r="I38" i="14" s="1"/>
  <c r="F4" i="14"/>
  <c r="H4" i="14" s="1"/>
  <c r="I4" i="14" s="1"/>
  <c r="H130" i="2"/>
  <c r="I670" i="1"/>
  <c r="I673" i="1" s="1"/>
  <c r="C7" i="10" s="1"/>
  <c r="C8" i="13"/>
  <c r="F145" i="2"/>
  <c r="H14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<sst xmlns="http://schemas.openxmlformats.org/spreadsheetml/2006/main" count="6639" uniqueCount="1841">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</sst>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1">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50">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0" fontId="9" fillId="0" borderId="0" xfId="0" applyNumberFormat="1" applyFont="1" applyAlignment="1" applyProtection="1">
      <alignment horizontal="center" vertical="justify"/>
      <protection locked="0"/>
    </xf>
    <xf numFmtId="4" fontId="0" fillId="0" borderId="0" xfId="0" applyNumberFormat="1" applyProtection="1">
      <protection locked="0"/>
    </xf>
    <xf numFmtId="4" fontId="0" fillId="0" borderId="0" xfId="0" applyNumberFormat="1" applyProtection="1">
      <protection locked="0"/>
    </xf>
    <xf numFmtId="4" fontId="0" fillId="0" borderId="0" xfId="0" applyNumberFormat="1" applyProtection="1">
      <protection locked="0"/>
    </xf>
  </cellXfs>
  <cellStyles count="61">
    <cellStyle name="20% - Accent1" xfId="17" builtinId="30" customBuiltin="1"/>
    <cellStyle name="20% - Accent1 2" xfId="45" xr:uid="{5DDF9114-1E12-4D8B-B55E-6B3D2CE1B994}"/>
    <cellStyle name="20% - Accent2" xfId="21" builtinId="34" customBuiltin="1"/>
    <cellStyle name="20% - Accent2 2" xfId="47" xr:uid="{7B3DEB52-532A-4143-9D55-37F0F996097D}"/>
    <cellStyle name="20% - Accent3" xfId="25" builtinId="38" customBuiltin="1"/>
    <cellStyle name="20% - Accent3 2" xfId="49" xr:uid="{5AB61731-533F-43D9-904C-E3397CF51C1F}"/>
    <cellStyle name="20% - Accent4" xfId="29" builtinId="42" customBuiltin="1"/>
    <cellStyle name="20% - Accent4 2" xfId="51" xr:uid="{904BBDF3-2D10-400A-AABC-B5D7A106DEDE}"/>
    <cellStyle name="20% - Accent5" xfId="33" builtinId="46" customBuiltin="1"/>
    <cellStyle name="20% - Accent5 2" xfId="53" xr:uid="{0FBA9637-04E8-43D7-9600-30AE7BBC4801}"/>
    <cellStyle name="20% - Accent6" xfId="37" builtinId="50" customBuiltin="1"/>
    <cellStyle name="20% - Accent6 2" xfId="55" xr:uid="{B7842134-C914-4DF5-958E-995714A6AAAC}"/>
    <cellStyle name="40% - Accent1" xfId="18" builtinId="31" customBuiltin="1"/>
    <cellStyle name="40% - Accent1 2" xfId="46" xr:uid="{120A857A-EE84-48A8-BC1F-F881413B9029}"/>
    <cellStyle name="40% - Accent2" xfId="22" builtinId="35" customBuiltin="1"/>
    <cellStyle name="40% - Accent2 2" xfId="48" xr:uid="{7794F770-B698-4267-9329-01E3770D2294}"/>
    <cellStyle name="40% - Accent3" xfId="26" builtinId="39" customBuiltin="1"/>
    <cellStyle name="40% - Accent3 2" xfId="50" xr:uid="{7001EF47-6BD7-496B-96EC-9D2E80359F36}"/>
    <cellStyle name="40% - Accent4" xfId="30" builtinId="43" customBuiltin="1"/>
    <cellStyle name="40% - Accent4 2" xfId="52" xr:uid="{818642B0-5549-4EB5-B8C3-543242090843}"/>
    <cellStyle name="40% - Accent5" xfId="34" builtinId="47" customBuiltin="1"/>
    <cellStyle name="40% - Accent5 2" xfId="54" xr:uid="{A8BF226C-00AA-4CB4-B344-3409711A5D02}"/>
    <cellStyle name="40% - Accent6" xfId="38" builtinId="51" customBuiltin="1"/>
    <cellStyle name="40% - Accent6 2" xfId="56" xr:uid="{3310B2A5-4753-426F-A957-DCB58DC26757}"/>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2 2" xfId="57" xr:uid="{B56963DB-01CC-43B4-A8D9-B62DD080FDFF}"/>
    <cellStyle name="Normal 3" xfId="43" xr:uid="{00000000-0005-0000-0000-000026000000}"/>
    <cellStyle name="Normal 3 2" xfId="59" xr:uid="{8DD57C52-03FF-4A01-BB86-AD4AA2D36A58}"/>
    <cellStyle name="Normal 4" xfId="44" xr:uid="{4593146B-18D1-4E3C-A4FA-C9B7D170F76A}"/>
    <cellStyle name="Normal 4 2" xfId="60" xr:uid="{8F4DBA12-4EF4-4F11-B632-4C0BABF539AC}"/>
    <cellStyle name="Note 2" xfId="42" xr:uid="{00000000-0005-0000-0000-000027000000}"/>
    <cellStyle name="Note 2 2" xfId="58" xr:uid="{FA21522A-611D-45F7-9AC7-21414813FB75}"/>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144" zoomScaleNormal="100" workbookViewId="0">
      <selection activeCell="J28" sqref="J2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1348</v>
      </c>
      <c r="B2">
        <f>INDEX('School Tables'!$AH$3:$AH$213,MATCH('DOE25'!A2,'School Tables'!$AJ$3:$AJ$213,0))</f>
        <v>449</v>
      </c>
      <c r="C2">
        <f>INDEX('School Tables'!$AI$3:$AI$213,MATCH('DOE25'!A2,'School Tables'!$AJ$3:$AJ$213,0))</f>
        <v>449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0</v>
      </c>
      <c r="G9" s="18">
        <v>1408</v>
      </c>
      <c r="H9" s="18">
        <v>0</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0</v>
      </c>
      <c r="G12" s="18">
        <v>19541.310000000001</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54029.68</v>
      </c>
      <c r="H13" s="18">
        <v>908380.28</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49976.66</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0</v>
      </c>
      <c r="G19" s="38">
        <f>SUM(G9:G18)</f>
        <v>124955.65000000001</v>
      </c>
      <c r="H19" s="38">
        <f>SUM(H9:H18)</f>
        <v>908380.28</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0</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v>12092.22</v>
      </c>
      <c r="H24" s="18">
        <v>0</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36097.129999999997</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28093.69</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76283.039999999994</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v>48672.61</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908380.28</v>
      </c>
      <c r="I48" s="18">
        <v>0</v>
      </c>
      <c r="J48" s="13">
        <f>SUM(I460)</f>
        <v>0</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48672.61</v>
      </c>
      <c r="H51" s="38">
        <f>SUM(H35:H50)</f>
        <v>908380.28</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0</v>
      </c>
      <c r="G52" s="38">
        <f>G51+G32</f>
        <v>124955.65</v>
      </c>
      <c r="H52" s="38">
        <f>H51+H32</f>
        <v>908380.28</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40398334.920000002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40398334.920000002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95094</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6823061.9500000002</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4"/>
      <c r="G69" s="23" t="s">
        <v>288</v>
      </c>
      <c r="H69" s="18">
        <v>1446232.07</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v>319488.24</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6918155.9500000002</v>
      </c>
      <c r="G79" s="42" t="s">
        <v>288</v>
      </c>
      <c r="H79" s="38">
        <f>SUM(H63:H78)</f>
        <v>1765720.31</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566174.61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15637</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1600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124903.81</v>
      </c>
      <c r="G102" s="18"/>
      <c r="H102" s="18">
        <v>12700.55</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76290.98</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169171.41</v>
      </c>
      <c r="G110" s="18">
        <v>30317.14</v>
      </c>
      <c r="H110" s="18">
        <v>49460.41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371966.19999999995</v>
      </c>
      <c r="G111" s="38">
        <f>SUM(G96:G110)</f>
        <v>596491.75</v>
      </c>
      <c r="H111" s="38">
        <f>SUM(H96:H110)</f>
        <v>77797.960000000006</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47688457.070000008</v>
      </c>
      <c r="G112" s="38">
        <f>G60+G111</f>
        <v>596491.75</v>
      </c>
      <c r="H112" s="38">
        <f>H60+H79+H94+H111</f>
        <v>1843518.27</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11410459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6314.23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11416773.23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740974.05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792975.75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1194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9836.2800000000007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1535143.8</v>
      </c>
      <c r="G136" s="38">
        <f>SUM(G123:G135)</f>
        <v>9836.2800000000007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12951917.030000001</v>
      </c>
      <c r="G140" s="38">
        <f>G121+SUM(G136:G137)</f>
        <v>9836.2800000000007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329094.34999999998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275173.28999999998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73731.86</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340885.95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507204.75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4"/>
      <c r="G160" s="23" t="s">
        <v>288</v>
      </c>
      <c r="H160" s="18">
        <v>599001.74</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53984.07</v>
      </c>
      <c r="H161" s="18">
        <v>250770.4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2103482.7200000002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394870.02</v>
      </c>
      <c r="H163" s="38">
        <f>SUM(H150:H162)</f>
        <v>4138459.1100000003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394870.02</v>
      </c>
      <c r="H170" s="38">
        <f>H147+H163+SUM(H164:H169)</f>
        <v>4138459.1100000003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7300.19</v>
      </c>
      <c r="H180" s="18">
        <v>1040515</v>
      </c>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7300.19</v>
      </c>
      <c r="H184" s="38">
        <f>SUM(H180:H183)</f>
        <v>1040515</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7300.19</v>
      </c>
      <c r="H193" s="38">
        <f>+H184+SUM(H189:H192)</f>
        <v>1040515</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60640374.100000009</v>
      </c>
      <c r="G194" s="38">
        <f>G112+G140+G170+G193</f>
        <v>1008498.24</v>
      </c>
      <c r="H194" s="38">
        <f>H112+H140+H170+H193</f>
        <v>7022492.3800000008</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7972246.7400000002</v>
      </c>
      <c r="G198" s="18">
        <v>4344850.87</v>
      </c>
      <c r="H198" s="18">
        <v>12370.42</v>
      </c>
      <c r="I198" s="18">
        <v>260903.47</v>
      </c>
      <c r="J198" s="18">
        <v>32563.16</v>
      </c>
      <c r="K198" s="18">
        <v>0</v>
      </c>
      <c r="L198" s="13">
        <f>SUM(F198:K198)</f>
        <v>12622934.66</v>
      </c>
      <c r="M198" s="8"/>
      <c r="N198" s="164"/>
    </row>
    <row r="199" spans="1:14" s="3" customFormat="1" ht="12.2" customHeight="1" x14ac:dyDescent="0.15">
      <c r="A199" s="1" t="s">
        <v>439</v>
      </c>
      <c r="B199" s="2" t="s">
        <v>341</v>
      </c>
      <c r="C199" s="2" t="s">
        <v>291</v>
      </c>
      <c r="D199" s="2" t="s">
        <v>431</v>
      </c>
      <c r="E199" s="6">
        <v>1200</v>
      </c>
      <c r="F199" s="18">
        <v>2498391.73</v>
      </c>
      <c r="G199" s="18">
        <v>503855.82</v>
      </c>
      <c r="H199" s="18">
        <v>774200.71</v>
      </c>
      <c r="I199" s="18">
        <v>4353.7299999999996</v>
      </c>
      <c r="J199" s="18">
        <v>3423.82</v>
      </c>
      <c r="K199" s="18">
        <v>0</v>
      </c>
      <c r="L199" s="13">
        <f>SUM(F199:K199)</f>
        <v>3784225.8099999996</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58523</v>
      </c>
      <c r="G201" s="18">
        <v>31102.6</v>
      </c>
      <c r="H201" s="18">
        <v>5059.5</v>
      </c>
      <c r="I201" s="18">
        <v>0</v>
      </c>
      <c r="J201" s="18">
        <v>0</v>
      </c>
      <c r="K201" s="18">
        <v>0</v>
      </c>
      <c r="L201" s="13">
        <f>SUM(F201:K201)</f>
        <v>94685.1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894082.55</v>
      </c>
      <c r="G203" s="18">
        <v>833632.31</v>
      </c>
      <c r="H203" s="18">
        <v>176563.09</v>
      </c>
      <c r="I203" s="18">
        <v>23425.13</v>
      </c>
      <c r="J203" s="18">
        <v>0</v>
      </c>
      <c r="K203" s="18">
        <v>2838</v>
      </c>
      <c r="L203" s="13">
        <f t="shared" ref="L203:L209" si="0">SUM(F203:K203)</f>
        <v>1930541.08</v>
      </c>
      <c r="M203" s="8"/>
      <c r="N203" s="164"/>
    </row>
    <row r="204" spans="1:14" s="3" customFormat="1" ht="12.2" customHeight="1" x14ac:dyDescent="0.15">
      <c r="A204" s="1" t="s">
        <v>443</v>
      </c>
      <c r="B204" s="2" t="s">
        <v>341</v>
      </c>
      <c r="C204" s="2" t="s">
        <v>295</v>
      </c>
      <c r="D204" s="2" t="s">
        <v>431</v>
      </c>
      <c r="E204" s="6">
        <v>2200</v>
      </c>
      <c r="F204" s="18">
        <v>303554.57</v>
      </c>
      <c r="G204" s="18">
        <v>183606.18</v>
      </c>
      <c r="H204" s="18">
        <v>0</v>
      </c>
      <c r="I204" s="18">
        <v>23590.720000000001</v>
      </c>
      <c r="J204" s="18">
        <v>3516</v>
      </c>
      <c r="K204" s="18">
        <v>0</v>
      </c>
      <c r="L204" s="13">
        <f t="shared" si="0"/>
        <v>514267.47</v>
      </c>
      <c r="M204" s="8"/>
      <c r="N204" s="164"/>
    </row>
    <row r="205" spans="1:14" s="3" customFormat="1" ht="12.2" customHeight="1" x14ac:dyDescent="0.15">
      <c r="A205" s="1" t="s">
        <v>444</v>
      </c>
      <c r="B205" s="2" t="s">
        <v>341</v>
      </c>
      <c r="C205" s="2" t="s">
        <v>296</v>
      </c>
      <c r="D205" s="2" t="s">
        <v>431</v>
      </c>
      <c r="E205" s="6">
        <v>2300</v>
      </c>
      <c r="F205" s="18">
        <v>558680.4</v>
      </c>
      <c r="G205" s="18">
        <v>344139.82</v>
      </c>
      <c r="H205" s="18">
        <v>96937.34</v>
      </c>
      <c r="I205" s="18">
        <v>27696.04</v>
      </c>
      <c r="J205" s="18">
        <v>5508.96</v>
      </c>
      <c r="K205" s="18">
        <v>72672.41</v>
      </c>
      <c r="L205" s="13">
        <f t="shared" si="0"/>
        <v>1105634.97</v>
      </c>
      <c r="M205" s="8"/>
      <c r="N205" s="164"/>
    </row>
    <row r="206" spans="1:14" s="3" customFormat="1" ht="12.2" customHeight="1" x14ac:dyDescent="0.15">
      <c r="A206" s="1" t="s">
        <v>445</v>
      </c>
      <c r="B206" s="2" t="s">
        <v>341</v>
      </c>
      <c r="C206" s="2" t="s">
        <v>297</v>
      </c>
      <c r="D206" s="2" t="s">
        <v>431</v>
      </c>
      <c r="E206" s="6">
        <v>2400</v>
      </c>
      <c r="F206" s="18">
        <v>711506.52</v>
      </c>
      <c r="G206" s="18">
        <v>405916.28</v>
      </c>
      <c r="H206" s="18">
        <v>662.66</v>
      </c>
      <c r="I206" s="18">
        <v>98.71</v>
      </c>
      <c r="J206" s="18">
        <v>0</v>
      </c>
      <c r="K206" s="18">
        <v>0</v>
      </c>
      <c r="L206" s="13">
        <f t="shared" si="0"/>
        <v>1118184.17</v>
      </c>
      <c r="M206" s="8"/>
      <c r="N206" s="164"/>
    </row>
    <row r="207" spans="1:14" s="3" customFormat="1" ht="12.2" customHeight="1" x14ac:dyDescent="0.15">
      <c r="A207" s="1" t="s">
        <v>446</v>
      </c>
      <c r="B207" s="2" t="s">
        <v>341</v>
      </c>
      <c r="C207" s="2" t="s">
        <v>298</v>
      </c>
      <c r="D207" s="2" t="s">
        <v>431</v>
      </c>
      <c r="E207" s="6">
        <v>2500</v>
      </c>
      <c r="F207" s="18">
        <v>167405.75</v>
      </c>
      <c r="G207" s="18">
        <v>118408.6</v>
      </c>
      <c r="H207" s="18">
        <v>85657.35</v>
      </c>
      <c r="I207" s="18">
        <v>1157</v>
      </c>
      <c r="J207" s="18">
        <v>812.8</v>
      </c>
      <c r="K207" s="18">
        <v>425.5</v>
      </c>
      <c r="L207" s="13">
        <f t="shared" si="0"/>
        <v>373866.99999999994</v>
      </c>
      <c r="M207" s="8"/>
      <c r="N207" s="164"/>
    </row>
    <row r="208" spans="1:14" s="3" customFormat="1" ht="12.2" customHeight="1" x14ac:dyDescent="0.15">
      <c r="A208" s="1" t="s">
        <v>447</v>
      </c>
      <c r="B208" s="2" t="s">
        <v>341</v>
      </c>
      <c r="C208" s="2" t="s">
        <v>299</v>
      </c>
      <c r="D208" s="2" t="s">
        <v>431</v>
      </c>
      <c r="E208" s="6">
        <v>2600</v>
      </c>
      <c r="F208" s="18">
        <v>501432.61</v>
      </c>
      <c r="G208" s="18">
        <v>422001.11</v>
      </c>
      <c r="H208" s="18">
        <v>458581.61</v>
      </c>
      <c r="I208" s="18">
        <v>216616.84</v>
      </c>
      <c r="J208" s="18">
        <v>0</v>
      </c>
      <c r="K208" s="18">
        <v>0</v>
      </c>
      <c r="L208" s="13">
        <f t="shared" si="0"/>
        <v>1598632.1700000002</v>
      </c>
      <c r="M208" s="8"/>
      <c r="N208" s="164"/>
    </row>
    <row r="209" spans="1:14" s="3" customFormat="1" ht="12.2" customHeight="1" x14ac:dyDescent="0.15">
      <c r="A209" s="1" t="s">
        <v>448</v>
      </c>
      <c r="B209" s="2" t="s">
        <v>341</v>
      </c>
      <c r="C209" s="2" t="s">
        <v>300</v>
      </c>
      <c r="D209" s="2" t="s">
        <v>431</v>
      </c>
      <c r="E209" s="6">
        <v>2700</v>
      </c>
      <c r="F209" s="18">
        <v>0</v>
      </c>
      <c r="G209" s="18">
        <v>0</v>
      </c>
      <c r="H209" s="18">
        <v>539600.6</v>
      </c>
      <c r="I209" s="18">
        <v>0</v>
      </c>
      <c r="J209" s="18">
        <v>0</v>
      </c>
      <c r="K209" s="18">
        <v>0</v>
      </c>
      <c r="L209" s="13">
        <f t="shared" si="0"/>
        <v>539600.6</v>
      </c>
      <c r="M209" s="8"/>
      <c r="N209" s="164"/>
    </row>
    <row r="210" spans="1:14" s="3" customFormat="1" ht="12.2" customHeight="1" x14ac:dyDescent="0.15">
      <c r="A210" s="1" t="s">
        <v>449</v>
      </c>
      <c r="B210" s="2" t="s">
        <v>341</v>
      </c>
      <c r="C210" s="2" t="s">
        <v>343</v>
      </c>
      <c r="D210" s="2" t="s">
        <v>431</v>
      </c>
      <c r="E210" s="6">
        <v>2800</v>
      </c>
      <c r="F210" s="18">
        <v>316525.25</v>
      </c>
      <c r="G210" s="18">
        <v>204164.94</v>
      </c>
      <c r="H210" s="18">
        <v>160471.31</v>
      </c>
      <c r="I210" s="18">
        <v>10054.41</v>
      </c>
      <c r="J210" s="18">
        <v>9163.2000000000007</v>
      </c>
      <c r="K210" s="18">
        <v>2441.6799999999998</v>
      </c>
      <c r="L210" s="13">
        <f>SUM(F210:K210)</f>
        <v>702820.79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13982349.120000001</v>
      </c>
      <c r="G212" s="38">
        <f t="shared" si="1"/>
        <v>7391678.5300000003</v>
      </c>
      <c r="H212" s="38">
        <f t="shared" si="1"/>
        <v>2310104.5900000003</v>
      </c>
      <c r="I212" s="38">
        <f t="shared" si="1"/>
        <v>567896.05000000005</v>
      </c>
      <c r="J212" s="38">
        <f t="shared" si="1"/>
        <v>54987.94</v>
      </c>
      <c r="K212" s="38">
        <f t="shared" si="1"/>
        <v>78377.59</v>
      </c>
      <c r="L212" s="38">
        <f t="shared" si="1"/>
        <v>24385393.82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2342070.4900000002</v>
      </c>
      <c r="G216" s="18">
        <v>1424454.08</v>
      </c>
      <c r="H216" s="18">
        <v>29987.51</v>
      </c>
      <c r="I216" s="18">
        <v>87568.41</v>
      </c>
      <c r="J216" s="18">
        <v>20137.27</v>
      </c>
      <c r="K216" s="18">
        <v>0</v>
      </c>
      <c r="L216" s="13">
        <f>SUM(F216:K216)</f>
        <v>3904217.7600000002</v>
      </c>
      <c r="M216" s="8"/>
      <c r="N216" s="164"/>
    </row>
    <row r="217" spans="1:14" s="3" customFormat="1" ht="12.2" customHeight="1" x14ac:dyDescent="0.15">
      <c r="A217" s="1" t="s">
        <v>439</v>
      </c>
      <c r="B217" s="2" t="s">
        <v>346</v>
      </c>
      <c r="C217" s="2" t="s">
        <v>291</v>
      </c>
      <c r="D217" s="2" t="s">
        <v>431</v>
      </c>
      <c r="E217" s="6">
        <v>1200</v>
      </c>
      <c r="F217" s="18">
        <v>1181667.99</v>
      </c>
      <c r="G217" s="18">
        <v>756246.15</v>
      </c>
      <c r="H217" s="18">
        <v>345421.82</v>
      </c>
      <c r="I217" s="18">
        <v>2448.38</v>
      </c>
      <c r="J217" s="18">
        <v>715.32</v>
      </c>
      <c r="K217" s="18">
        <v>0</v>
      </c>
      <c r="L217" s="13">
        <f>SUM(F217:K217)</f>
        <v>2286499.6599999997</v>
      </c>
      <c r="M217" s="8"/>
      <c r="N217" s="164"/>
    </row>
    <row r="218" spans="1:14" s="3" customFormat="1" ht="12.2" customHeight="1" x14ac:dyDescent="0.15">
      <c r="A218" s="1" t="s">
        <v>440</v>
      </c>
      <c r="B218" s="2" t="s">
        <v>346</v>
      </c>
      <c r="C218" s="2" t="s">
        <v>292</v>
      </c>
      <c r="D218" s="2" t="s">
        <v>431</v>
      </c>
      <c r="E218" s="6">
        <v>1300</v>
      </c>
      <c r="F218" s="18">
        <v>335875.84000000003</v>
      </c>
      <c r="G218" s="18">
        <v>169435.6</v>
      </c>
      <c r="H218" s="18">
        <v>0</v>
      </c>
      <c r="I218" s="18">
        <v>4032.31</v>
      </c>
      <c r="J218" s="18">
        <v>1500</v>
      </c>
      <c r="K218" s="18">
        <v>0</v>
      </c>
      <c r="L218" s="13">
        <f>SUM(F218:K218)</f>
        <v>510843.75000000006</v>
      </c>
      <c r="M218" s="8"/>
      <c r="N218" s="164"/>
    </row>
    <row r="219" spans="1:14" s="3" customFormat="1" ht="12.2" customHeight="1" x14ac:dyDescent="0.15">
      <c r="A219" s="1" t="s">
        <v>441</v>
      </c>
      <c r="B219" s="2" t="s">
        <v>346</v>
      </c>
      <c r="C219" s="2" t="s">
        <v>293</v>
      </c>
      <c r="D219" s="2" t="s">
        <v>431</v>
      </c>
      <c r="E219" s="6">
        <v>1400</v>
      </c>
      <c r="F219" s="4">
        <v>81152.460000000006</v>
      </c>
      <c r="G219" s="4">
        <v>41501.33</v>
      </c>
      <c r="H219" s="18">
        <v>14885.5</v>
      </c>
      <c r="I219" s="18">
        <v>15902.88</v>
      </c>
      <c r="J219" s="18">
        <v>0</v>
      </c>
      <c r="K219" s="18">
        <v>0</v>
      </c>
      <c r="L219" s="13">
        <f>SUM(F219:K219)</f>
        <v>153442.17000000001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994082.55</v>
      </c>
      <c r="G221" s="18">
        <v>824353.14</v>
      </c>
      <c r="H221" s="18">
        <v>176563.09</v>
      </c>
      <c r="I221" s="18">
        <v>23425.13</v>
      </c>
      <c r="J221" s="18">
        <v>0</v>
      </c>
      <c r="K221" s="18">
        <v>2838</v>
      </c>
      <c r="L221" s="13">
        <f t="shared" ref="L221:L227" si="2">SUM(F221:K221)</f>
        <v>2021261.91</v>
      </c>
      <c r="M221" s="8"/>
      <c r="N221" s="164"/>
    </row>
    <row r="222" spans="1:14" s="3" customFormat="1" ht="12.2" customHeight="1" x14ac:dyDescent="0.15">
      <c r="A222" s="1" t="s">
        <v>443</v>
      </c>
      <c r="B222" s="2" t="s">
        <v>346</v>
      </c>
      <c r="C222" s="2" t="s">
        <v>295</v>
      </c>
      <c r="D222" s="2" t="s">
        <v>431</v>
      </c>
      <c r="E222" s="6">
        <v>2200</v>
      </c>
      <c r="F222" s="18">
        <v>107583.52</v>
      </c>
      <c r="G222" s="18">
        <v>51915.46</v>
      </c>
      <c r="H222" s="18">
        <v>0</v>
      </c>
      <c r="I222" s="18">
        <v>14383.96</v>
      </c>
      <c r="J222" s="18">
        <v>900</v>
      </c>
      <c r="K222" s="18">
        <v>0</v>
      </c>
      <c r="L222" s="13">
        <f t="shared" si="2"/>
        <v>174782.94</v>
      </c>
      <c r="M222" s="8"/>
      <c r="N222" s="164"/>
    </row>
    <row r="223" spans="1:14" s="3" customFormat="1" ht="12.2" customHeight="1" x14ac:dyDescent="0.15">
      <c r="A223" s="1" t="s">
        <v>444</v>
      </c>
      <c r="B223" s="2" t="s">
        <v>346</v>
      </c>
      <c r="C223" s="2" t="s">
        <v>296</v>
      </c>
      <c r="D223" s="2" t="s">
        <v>431</v>
      </c>
      <c r="E223" s="6">
        <v>2300</v>
      </c>
      <c r="F223" s="18">
        <v>279340.2</v>
      </c>
      <c r="G223" s="18">
        <v>141837.56</v>
      </c>
      <c r="H223" s="18">
        <v>48468.67</v>
      </c>
      <c r="I223" s="18">
        <v>13848.02</v>
      </c>
      <c r="J223" s="18">
        <v>2754.48</v>
      </c>
      <c r="K223" s="18">
        <v>36336.199999999997</v>
      </c>
      <c r="L223" s="13">
        <f t="shared" si="2"/>
        <v>522585.13</v>
      </c>
      <c r="M223" s="8"/>
      <c r="N223" s="164"/>
    </row>
    <row r="224" spans="1:14" s="3" customFormat="1" ht="12.2" customHeight="1" x14ac:dyDescent="0.15">
      <c r="A224" s="1" t="s">
        <v>445</v>
      </c>
      <c r="B224" s="2" t="s">
        <v>346</v>
      </c>
      <c r="C224" s="2" t="s">
        <v>297</v>
      </c>
      <c r="D224" s="2" t="s">
        <v>431</v>
      </c>
      <c r="E224" s="6">
        <v>2400</v>
      </c>
      <c r="F224" s="18">
        <v>366574.45</v>
      </c>
      <c r="G224" s="18">
        <v>175959.59</v>
      </c>
      <c r="H224" s="18">
        <v>1230.18</v>
      </c>
      <c r="I224" s="18">
        <v>882.92</v>
      </c>
      <c r="J224" s="18">
        <v>0</v>
      </c>
      <c r="K224" s="18">
        <v>863.88</v>
      </c>
      <c r="L224" s="13">
        <f t="shared" si="2"/>
        <v>545511.02000000014</v>
      </c>
      <c r="M224" s="8"/>
      <c r="N224" s="164"/>
    </row>
    <row r="225" spans="1:14" s="3" customFormat="1" ht="12.2" customHeight="1" x14ac:dyDescent="0.15">
      <c r="A225" s="1" t="s">
        <v>446</v>
      </c>
      <c r="B225" s="2" t="s">
        <v>346</v>
      </c>
      <c r="C225" s="2" t="s">
        <v>298</v>
      </c>
      <c r="D225" s="2" t="s">
        <v>431</v>
      </c>
      <c r="E225" s="6">
        <v>2500</v>
      </c>
      <c r="F225" s="18">
        <v>83702.87</v>
      </c>
      <c r="G225" s="18">
        <v>92956.12</v>
      </c>
      <c r="H225" s="18">
        <v>42828.68</v>
      </c>
      <c r="I225" s="18">
        <v>578.5</v>
      </c>
      <c r="J225" s="18">
        <v>406.4</v>
      </c>
      <c r="K225" s="18">
        <v>212.75</v>
      </c>
      <c r="L225" s="13">
        <f t="shared" si="2"/>
        <v>220685.31999999998</v>
      </c>
      <c r="M225" s="8"/>
      <c r="N225" s="164"/>
    </row>
    <row r="226" spans="1:14" s="3" customFormat="1" ht="12.2" customHeight="1" x14ac:dyDescent="0.15">
      <c r="A226" s="1" t="s">
        <v>447</v>
      </c>
      <c r="B226" s="2" t="s">
        <v>346</v>
      </c>
      <c r="C226" s="2" t="s">
        <v>299</v>
      </c>
      <c r="D226" s="2" t="s">
        <v>431</v>
      </c>
      <c r="E226" s="6">
        <v>2600</v>
      </c>
      <c r="F226" s="18">
        <v>173810.6</v>
      </c>
      <c r="G226" s="18">
        <v>106047.74</v>
      </c>
      <c r="H226" s="18">
        <v>146677.5</v>
      </c>
      <c r="I226" s="18">
        <v>186059.8</v>
      </c>
      <c r="J226" s="18">
        <v>0</v>
      </c>
      <c r="K226" s="18">
        <v>0</v>
      </c>
      <c r="L226" s="13">
        <f t="shared" si="2"/>
        <v>612595.64</v>
      </c>
      <c r="M226" s="8"/>
      <c r="N226" s="164"/>
    </row>
    <row r="227" spans="1:14" s="3" customFormat="1" ht="12.2" customHeight="1" x14ac:dyDescent="0.15">
      <c r="A227" s="1" t="s">
        <v>448</v>
      </c>
      <c r="B227" s="2" t="s">
        <v>346</v>
      </c>
      <c r="C227" s="2" t="s">
        <v>300</v>
      </c>
      <c r="D227" s="2" t="s">
        <v>431</v>
      </c>
      <c r="E227" s="6">
        <v>2700</v>
      </c>
      <c r="F227" s="18">
        <v>0</v>
      </c>
      <c r="G227" s="18">
        <v>0</v>
      </c>
      <c r="H227" s="18">
        <v>383999.16</v>
      </c>
      <c r="I227" s="18">
        <v>0</v>
      </c>
      <c r="J227" s="18">
        <v>0</v>
      </c>
      <c r="K227" s="18">
        <v>0</v>
      </c>
      <c r="L227" s="13">
        <f t="shared" si="2"/>
        <v>383999.16</v>
      </c>
      <c r="M227" s="8"/>
      <c r="N227" s="164"/>
    </row>
    <row r="228" spans="1:14" s="3" customFormat="1" ht="12.2" customHeight="1" x14ac:dyDescent="0.15">
      <c r="A228" s="1" t="s">
        <v>449</v>
      </c>
      <c r="B228" s="2" t="s">
        <v>346</v>
      </c>
      <c r="C228" s="2" t="s">
        <v>343</v>
      </c>
      <c r="D228" s="2" t="s">
        <v>431</v>
      </c>
      <c r="E228" s="6">
        <v>2800</v>
      </c>
      <c r="F228" s="18">
        <v>158262.63</v>
      </c>
      <c r="G228" s="18">
        <v>85194.65</v>
      </c>
      <c r="H228" s="18">
        <v>76832.94</v>
      </c>
      <c r="I228" s="18">
        <v>5027.2</v>
      </c>
      <c r="J228" s="18">
        <v>4581.6000000000004</v>
      </c>
      <c r="K228" s="18">
        <v>1220.8399999999999</v>
      </c>
      <c r="L228" s="13">
        <f>SUM(F228:K228)</f>
        <v>331119.86</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6104123.5999999996</v>
      </c>
      <c r="G230" s="38">
        <f>SUM(G216:G229)</f>
        <v>3869901.4200000004</v>
      </c>
      <c r="H230" s="38">
        <f>SUM(H216:H229)</f>
        <v>1266895.05</v>
      </c>
      <c r="I230" s="38">
        <f>SUM(I216:I229)</f>
        <v>354157.51</v>
      </c>
      <c r="J230" s="38">
        <f>SUM(J216:J229)</f>
        <v>30995.07</v>
      </c>
      <c r="K230" s="38">
        <f t="shared" si="3"/>
        <v>41471.669999999991</v>
      </c>
      <c r="L230" s="38">
        <f t="shared" si="3"/>
        <v>11667544.32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5233110.1399999997</v>
      </c>
      <c r="G234" s="18">
        <v>4261470.41</v>
      </c>
      <c r="H234" s="18">
        <v>8226.77</v>
      </c>
      <c r="I234" s="18">
        <v>127004.51</v>
      </c>
      <c r="J234" s="18">
        <v>20693.560000000001</v>
      </c>
      <c r="K234" s="18">
        <v>70</v>
      </c>
      <c r="L234" s="13">
        <f>SUM(F234:K234)</f>
        <v>9650575.3900000006</v>
      </c>
      <c r="M234" s="8"/>
      <c r="N234" s="164"/>
    </row>
    <row r="235" spans="1:14" s="3" customFormat="1" ht="12.2" customHeight="1" x14ac:dyDescent="0.15">
      <c r="A235" s="1" t="s">
        <v>439</v>
      </c>
      <c r="B235" s="2" t="s">
        <v>350</v>
      </c>
      <c r="C235" s="2" t="s">
        <v>291</v>
      </c>
      <c r="D235" s="2" t="s">
        <v>431</v>
      </c>
      <c r="E235" s="6">
        <v>1200</v>
      </c>
      <c r="F235" s="18">
        <v>1254431.94</v>
      </c>
      <c r="G235" s="18">
        <v>438584.42</v>
      </c>
      <c r="H235" s="18">
        <v>1884326.94</v>
      </c>
      <c r="I235" s="18">
        <v>27334.07</v>
      </c>
      <c r="J235" s="18">
        <v>6957.1</v>
      </c>
      <c r="K235" s="18">
        <v>0</v>
      </c>
      <c r="L235" s="13">
        <f>SUM(F235:K235)</f>
        <v>3611634.4699999997</v>
      </c>
      <c r="M235" s="8"/>
      <c r="N235" s="164"/>
    </row>
    <row r="236" spans="1:14" s="3" customFormat="1" ht="12.2" customHeight="1" x14ac:dyDescent="0.15">
      <c r="A236" s="1" t="s">
        <v>440</v>
      </c>
      <c r="B236" s="2" t="s">
        <v>350</v>
      </c>
      <c r="C236" s="2" t="s">
        <v>292</v>
      </c>
      <c r="D236" s="2" t="s">
        <v>431</v>
      </c>
      <c r="E236" s="6">
        <v>1300</v>
      </c>
      <c r="F236" s="18">
        <v>896068.79</v>
      </c>
      <c r="G236" s="18">
        <v>401478.15</v>
      </c>
      <c r="H236" s="18">
        <v>11208.69</v>
      </c>
      <c r="I236" s="18">
        <v>45272.92</v>
      </c>
      <c r="J236" s="18">
        <v>5015.3999999999996</v>
      </c>
      <c r="K236" s="18">
        <v>0</v>
      </c>
      <c r="L236" s="13">
        <f>SUM(F236:K236)</f>
        <v>1359043.9499999997</v>
      </c>
      <c r="M236" s="8"/>
      <c r="N236" s="164"/>
    </row>
    <row r="237" spans="1:14" s="3" customFormat="1" ht="12.2" customHeight="1" x14ac:dyDescent="0.15">
      <c r="A237" s="1" t="s">
        <v>441</v>
      </c>
      <c r="B237" s="2" t="s">
        <v>350</v>
      </c>
      <c r="C237" s="2" t="s">
        <v>293</v>
      </c>
      <c r="D237" s="2" t="s">
        <v>431</v>
      </c>
      <c r="E237" s="6">
        <v>1400</v>
      </c>
      <c r="F237" s="18">
        <v>371049.67</v>
      </c>
      <c r="G237" s="18">
        <v>209430.85</v>
      </c>
      <c r="H237" s="18">
        <v>103041.08</v>
      </c>
      <c r="I237" s="18">
        <v>102087.14</v>
      </c>
      <c r="J237" s="18">
        <v>0</v>
      </c>
      <c r="K237" s="18">
        <v>0</v>
      </c>
      <c r="L237" s="13">
        <f>SUM(F237:K237)</f>
        <v>785608.74</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1002048.92</v>
      </c>
      <c r="G239" s="18">
        <v>531296.29</v>
      </c>
      <c r="H239" s="18">
        <v>53486.51</v>
      </c>
      <c r="I239" s="18">
        <v>15626.15</v>
      </c>
      <c r="J239" s="18">
        <v>0</v>
      </c>
      <c r="K239" s="18">
        <v>26139.93</v>
      </c>
      <c r="L239" s="13">
        <f t="shared" ref="L239:L245" si="4">SUM(F239:K239)</f>
        <v>1628597.7999999998</v>
      </c>
      <c r="M239" s="8"/>
      <c r="N239" s="164"/>
    </row>
    <row r="240" spans="1:14" s="3" customFormat="1" ht="12.2" customHeight="1" x14ac:dyDescent="0.15">
      <c r="A240" s="1" t="s">
        <v>443</v>
      </c>
      <c r="B240" s="2" t="s">
        <v>350</v>
      </c>
      <c r="C240" s="2" t="s">
        <v>295</v>
      </c>
      <c r="D240" s="2" t="s">
        <v>431</v>
      </c>
      <c r="E240" s="6">
        <v>2200</v>
      </c>
      <c r="F240" s="18">
        <v>135090.70000000001</v>
      </c>
      <c r="G240" s="18">
        <v>89605.36</v>
      </c>
      <c r="H240" s="18">
        <v>4103.1400000000003</v>
      </c>
      <c r="I240" s="18">
        <v>18450.04</v>
      </c>
      <c r="J240" s="18">
        <v>478.08</v>
      </c>
      <c r="K240" s="18">
        <v>0</v>
      </c>
      <c r="L240" s="13">
        <f t="shared" si="4"/>
        <v>247727.32</v>
      </c>
      <c r="M240" s="8"/>
      <c r="N240" s="164"/>
    </row>
    <row r="241" spans="1:14" s="3" customFormat="1" ht="12.2" customHeight="1" x14ac:dyDescent="0.15">
      <c r="A241" s="1" t="s">
        <v>444</v>
      </c>
      <c r="B241" s="2" t="s">
        <v>350</v>
      </c>
      <c r="C241" s="2" t="s">
        <v>296</v>
      </c>
      <c r="D241" s="2" t="s">
        <v>431</v>
      </c>
      <c r="E241" s="6">
        <v>2300</v>
      </c>
      <c r="F241" s="18">
        <v>376502.01</v>
      </c>
      <c r="G241" s="18">
        <v>150213.97</v>
      </c>
      <c r="H241" s="18">
        <v>65327.34</v>
      </c>
      <c r="I241" s="18">
        <v>18664.72</v>
      </c>
      <c r="J241" s="18">
        <v>3712.56</v>
      </c>
      <c r="K241" s="18">
        <v>48974.879999999997</v>
      </c>
      <c r="L241" s="13">
        <f t="shared" si="4"/>
        <v>663395.48</v>
      </c>
      <c r="M241" s="8"/>
      <c r="N241" s="164"/>
    </row>
    <row r="242" spans="1:14" s="3" customFormat="1" ht="12.2" customHeight="1" x14ac:dyDescent="0.15">
      <c r="A242" s="1" t="s">
        <v>445</v>
      </c>
      <c r="B242" s="2" t="s">
        <v>350</v>
      </c>
      <c r="C242" s="2" t="s">
        <v>297</v>
      </c>
      <c r="D242" s="2" t="s">
        <v>431</v>
      </c>
      <c r="E242" s="6">
        <v>2400</v>
      </c>
      <c r="F242" s="18">
        <v>824588.56</v>
      </c>
      <c r="G242" s="18">
        <v>371748.1</v>
      </c>
      <c r="H242" s="18">
        <v>9933.69</v>
      </c>
      <c r="I242" s="18">
        <v>3714.7</v>
      </c>
      <c r="J242" s="18">
        <v>0</v>
      </c>
      <c r="K242" s="18">
        <v>1993.75</v>
      </c>
      <c r="L242" s="13">
        <f t="shared" si="4"/>
        <v>1211978.8</v>
      </c>
      <c r="M242" s="8"/>
      <c r="N242" s="164"/>
    </row>
    <row r="243" spans="1:14" s="3" customFormat="1" ht="12.2" customHeight="1" x14ac:dyDescent="0.15">
      <c r="A243" s="1" t="s">
        <v>446</v>
      </c>
      <c r="B243" s="2" t="s">
        <v>350</v>
      </c>
      <c r="C243" s="2" t="s">
        <v>298</v>
      </c>
      <c r="D243" s="2" t="s">
        <v>431</v>
      </c>
      <c r="E243" s="6">
        <v>2500</v>
      </c>
      <c r="F243" s="18">
        <v>112816.92</v>
      </c>
      <c r="G243" s="18">
        <v>60956.86</v>
      </c>
      <c r="H243" s="18">
        <v>57725.61</v>
      </c>
      <c r="I243" s="18">
        <v>779.72</v>
      </c>
      <c r="J243" s="18">
        <v>547.76</v>
      </c>
      <c r="K243" s="18">
        <v>286.75</v>
      </c>
      <c r="L243" s="13">
        <f t="shared" si="4"/>
        <v>233113.62000000002</v>
      </c>
      <c r="M243" s="8"/>
      <c r="N243" s="164"/>
    </row>
    <row r="244" spans="1:14" s="3" customFormat="1" ht="12.2" customHeight="1" x14ac:dyDescent="0.15">
      <c r="A244" s="1" t="s">
        <v>447</v>
      </c>
      <c r="B244" s="2" t="s">
        <v>350</v>
      </c>
      <c r="C244" s="2" t="s">
        <v>299</v>
      </c>
      <c r="D244" s="2" t="s">
        <v>431</v>
      </c>
      <c r="E244" s="6">
        <v>2600</v>
      </c>
      <c r="F244" s="18">
        <v>471817.94</v>
      </c>
      <c r="G244" s="18">
        <v>356934.68</v>
      </c>
      <c r="H244" s="18">
        <v>711239.93</v>
      </c>
      <c r="I244" s="18">
        <v>654551.15</v>
      </c>
      <c r="J244" s="18">
        <v>934999.79</v>
      </c>
      <c r="K244" s="18">
        <v>0</v>
      </c>
      <c r="L244" s="13">
        <f t="shared" si="4"/>
        <v>3129543.49</v>
      </c>
      <c r="M244" s="8"/>
      <c r="N244" s="164"/>
    </row>
    <row r="245" spans="1:14" s="3" customFormat="1" ht="12.2" customHeight="1" x14ac:dyDescent="0.15">
      <c r="A245" s="1" t="s">
        <v>448</v>
      </c>
      <c r="B245" s="2" t="s">
        <v>350</v>
      </c>
      <c r="C245" s="2" t="s">
        <v>300</v>
      </c>
      <c r="D245" s="2" t="s">
        <v>431</v>
      </c>
      <c r="E245" s="6">
        <v>2700</v>
      </c>
      <c r="F245" s="18">
        <v>0</v>
      </c>
      <c r="G245" s="18">
        <v>0</v>
      </c>
      <c r="H245" s="18">
        <v>576967.15</v>
      </c>
      <c r="I245" s="18">
        <v>0</v>
      </c>
      <c r="J245" s="18">
        <v>0</v>
      </c>
      <c r="K245" s="18">
        <v>0</v>
      </c>
      <c r="L245" s="13">
        <f t="shared" si="4"/>
        <v>576967.15</v>
      </c>
      <c r="M245" s="8"/>
      <c r="N245" s="164"/>
    </row>
    <row r="246" spans="1:14" s="3" customFormat="1" ht="12.2" customHeight="1" x14ac:dyDescent="0.15">
      <c r="A246" s="1" t="s">
        <v>449</v>
      </c>
      <c r="B246" s="2" t="s">
        <v>350</v>
      </c>
      <c r="C246" s="2" t="s">
        <v>343</v>
      </c>
      <c r="D246" s="2" t="s">
        <v>431</v>
      </c>
      <c r="E246" s="6">
        <v>2800</v>
      </c>
      <c r="F246" s="18">
        <v>213310.49</v>
      </c>
      <c r="G246" s="18">
        <v>96119.78</v>
      </c>
      <c r="H246" s="18">
        <v>117407.81</v>
      </c>
      <c r="I246" s="18">
        <v>6775.8</v>
      </c>
      <c r="J246" s="18">
        <v>6175.2</v>
      </c>
      <c r="K246" s="18">
        <v>1645.48</v>
      </c>
      <c r="L246" s="13">
        <f>SUM(F246:K246)</f>
        <v>441434.56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10890836.08</v>
      </c>
      <c r="G248" s="38">
        <f t="shared" si="5"/>
        <v>6967838.8700000001</v>
      </c>
      <c r="H248" s="38">
        <f t="shared" si="5"/>
        <v>3602994.6599999997</v>
      </c>
      <c r="I248" s="38">
        <f t="shared" si="5"/>
        <v>1020260.9200000002</v>
      </c>
      <c r="J248" s="38">
        <f t="shared" si="5"/>
        <v>978579.45</v>
      </c>
      <c r="K248" s="38">
        <f t="shared" si="5"/>
        <v>79110.789999999994</v>
      </c>
      <c r="L248" s="38">
        <f t="shared" si="5"/>
        <v>23539620.77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30977308.799999997</v>
      </c>
      <c r="G258" s="38">
        <f t="shared" si="8"/>
        <v>18229418.82</v>
      </c>
      <c r="H258" s="38">
        <f t="shared" si="8"/>
        <v>7179994.3000000007</v>
      </c>
      <c r="I258" s="38">
        <f t="shared" si="8"/>
        <v>1942314.4800000002</v>
      </c>
      <c r="J258" s="38">
        <f t="shared" si="8"/>
        <v>1064562.46</v>
      </c>
      <c r="K258" s="38">
        <f t="shared" si="8"/>
        <v>198960.05</v>
      </c>
      <c r="L258" s="38">
        <f t="shared" si="8"/>
        <v>59592558.909999996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7300.19</v>
      </c>
      <c r="L264" s="13">
        <f>SUM(F264:K264)</f>
        <v>7300.19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1040515</v>
      </c>
      <c r="L265" s="13">
        <f t="shared" ref="L265:L271" si="9">SUM(F265:K265)</f>
        <v>1040515</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1047815.19</v>
      </c>
      <c r="L271" s="38">
        <f t="shared" si="9"/>
        <v>1047815.19</v>
      </c>
      <c r="M271" s="8"/>
      <c r="N271" s="164"/>
    </row>
    <row r="272" spans="1:14" s="33" customFormat="1" ht="12.2" customHeight="1" thickTop="1" x14ac:dyDescent="0.2">
      <c r="A272" s="40" t="s">
        <v>464</v>
      </c>
      <c r="B272" s="37">
        <v>10</v>
      </c>
      <c r="C272" s="37">
        <v>18</v>
      </c>
      <c r="D272" s="36" t="s">
        <v>431</v>
      </c>
      <c r="E272" s="37"/>
      <c r="F272" s="39">
        <f t="shared" ref="F272:L272" si="11">F258+F271</f>
        <v>30977308.799999997</v>
      </c>
      <c r="G272" s="39">
        <f t="shared" si="11"/>
        <v>18229418.82</v>
      </c>
      <c r="H272" s="39">
        <f t="shared" si="11"/>
        <v>7179994.3000000007</v>
      </c>
      <c r="I272" s="39">
        <f t="shared" si="11"/>
        <v>1942314.4800000002</v>
      </c>
      <c r="J272" s="39">
        <f t="shared" si="11"/>
        <v>1064562.46</v>
      </c>
      <c r="K272" s="39">
        <f t="shared" si="11"/>
        <v>1246775.24</v>
      </c>
      <c r="L272" s="39">
        <f t="shared" si="11"/>
        <v>60640374.099999994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608401.06000000006</v>
      </c>
      <c r="G277" s="18">
        <v>443160.39</v>
      </c>
      <c r="H277" s="18">
        <v>0</v>
      </c>
      <c r="I277" s="18">
        <v>3579.67</v>
      </c>
      <c r="J277" s="18">
        <v>0</v>
      </c>
      <c r="K277" s="18">
        <v>0</v>
      </c>
      <c r="L277" s="13">
        <f>SUM(F277:K277)</f>
        <v>1055141.1200000001</v>
      </c>
      <c r="M277" s="8"/>
      <c r="N277" s="164"/>
    </row>
    <row r="278" spans="1:14" s="3" customFormat="1" ht="12.2" customHeight="1" x14ac:dyDescent="0.15">
      <c r="A278" s="1" t="s">
        <v>439</v>
      </c>
      <c r="B278" s="2" t="s">
        <v>357</v>
      </c>
      <c r="C278" s="2" t="s">
        <v>291</v>
      </c>
      <c r="D278" s="2" t="s">
        <v>431</v>
      </c>
      <c r="E278" s="6">
        <v>1200</v>
      </c>
      <c r="F278" s="18">
        <v>321867.56</v>
      </c>
      <c r="G278" s="18">
        <v>123556.05</v>
      </c>
      <c r="H278" s="18">
        <v>3956</v>
      </c>
      <c r="I278" s="18">
        <v>33524.879999999997</v>
      </c>
      <c r="J278" s="18">
        <v>3000</v>
      </c>
      <c r="K278" s="18">
        <v>0</v>
      </c>
      <c r="L278" s="13">
        <f>SUM(F278:K278)</f>
        <v>485904.49</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109721.55</v>
      </c>
      <c r="I280" s="18">
        <v>644.64</v>
      </c>
      <c r="J280" s="18">
        <v>0</v>
      </c>
      <c r="K280" s="18">
        <v>0</v>
      </c>
      <c r="L280" s="13">
        <f>SUM(F280:K280)</f>
        <v>110366.19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9477.69</v>
      </c>
      <c r="G283" s="18">
        <v>2524.65</v>
      </c>
      <c r="H283" s="18">
        <v>64498.23</v>
      </c>
      <c r="I283" s="18">
        <v>14807.4</v>
      </c>
      <c r="J283" s="18">
        <v>0</v>
      </c>
      <c r="K283" s="18">
        <v>0</v>
      </c>
      <c r="L283" s="13">
        <f t="shared" si="12"/>
        <v>91307.97</v>
      </c>
      <c r="M283" s="8"/>
      <c r="N283" s="164"/>
    </row>
    <row r="284" spans="1:14" s="3" customFormat="1" ht="12.2" customHeight="1" x14ac:dyDescent="0.15">
      <c r="A284" s="1" t="s">
        <v>444</v>
      </c>
      <c r="B284" s="2" t="s">
        <v>357</v>
      </c>
      <c r="C284" s="2" t="s">
        <v>296</v>
      </c>
      <c r="D284" s="2" t="s">
        <v>431</v>
      </c>
      <c r="E284" s="6">
        <v>2300</v>
      </c>
      <c r="F284" s="18">
        <v>30272.46</v>
      </c>
      <c r="G284" s="18">
        <v>6371.48</v>
      </c>
      <c r="H284" s="18">
        <v>0</v>
      </c>
      <c r="I284" s="18">
        <v>0</v>
      </c>
      <c r="J284" s="18">
        <v>0</v>
      </c>
      <c r="K284" s="18">
        <v>0</v>
      </c>
      <c r="L284" s="13">
        <f t="shared" si="12"/>
        <v>36643.94</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251955.68</v>
      </c>
      <c r="J289" s="18">
        <v>0</v>
      </c>
      <c r="K289" s="18">
        <v>0</v>
      </c>
      <c r="L289" s="13">
        <f>SUM(F289:K289)</f>
        <v>251955.68</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970018.77</v>
      </c>
      <c r="G291" s="39">
        <f t="shared" si="13"/>
        <v>575612.57000000007</v>
      </c>
      <c r="H291" s="39">
        <f t="shared" si="13"/>
        <v>178175.78</v>
      </c>
      <c r="I291" s="39">
        <f t="shared" si="13"/>
        <v>304512.27</v>
      </c>
      <c r="J291" s="39">
        <f t="shared" si="13"/>
        <v>3000</v>
      </c>
      <c r="K291" s="39">
        <f t="shared" si="13"/>
        <v>0</v>
      </c>
      <c r="L291" s="38">
        <f t="shared" si="13"/>
        <v>2031319.39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150489</v>
      </c>
      <c r="G296" s="18">
        <v>66532</v>
      </c>
      <c r="H296" s="18">
        <v>0</v>
      </c>
      <c r="I296" s="18">
        <v>0</v>
      </c>
      <c r="J296" s="18">
        <v>0</v>
      </c>
      <c r="K296" s="18">
        <v>0</v>
      </c>
      <c r="L296" s="13">
        <f>SUM(F296:K296)</f>
        <v>217021</v>
      </c>
      <c r="M296" s="8"/>
      <c r="N296" s="164"/>
    </row>
    <row r="297" spans="1:14" s="3" customFormat="1" ht="12.2" customHeight="1" x14ac:dyDescent="0.15">
      <c r="A297" s="1" t="s">
        <v>439</v>
      </c>
      <c r="B297" s="2" t="s">
        <v>358</v>
      </c>
      <c r="C297" s="2" t="s">
        <v>291</v>
      </c>
      <c r="D297" s="2" t="s">
        <v>431</v>
      </c>
      <c r="E297" s="6">
        <v>1200</v>
      </c>
      <c r="F297" s="18">
        <v>238992.72</v>
      </c>
      <c r="G297" s="18">
        <v>85229</v>
      </c>
      <c r="H297" s="18">
        <v>0</v>
      </c>
      <c r="I297" s="18">
        <v>0</v>
      </c>
      <c r="J297" s="18">
        <v>0</v>
      </c>
      <c r="K297" s="18">
        <v>0</v>
      </c>
      <c r="L297" s="13">
        <f>SUM(F297:K297)</f>
        <v>324221.71999999997</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55798</v>
      </c>
      <c r="G299" s="18">
        <v>21165.94</v>
      </c>
      <c r="H299" s="18">
        <v>0</v>
      </c>
      <c r="I299" s="18">
        <v>0</v>
      </c>
      <c r="J299" s="18">
        <v>0</v>
      </c>
      <c r="K299" s="18">
        <v>0</v>
      </c>
      <c r="L299" s="13">
        <f>SUM(F299:K299)</f>
        <v>76963.94</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990386.81</v>
      </c>
      <c r="G301" s="18">
        <v>52818.16</v>
      </c>
      <c r="H301" s="18">
        <v>0</v>
      </c>
      <c r="I301" s="18">
        <v>0</v>
      </c>
      <c r="J301" s="18">
        <v>0</v>
      </c>
      <c r="K301" s="18">
        <v>0</v>
      </c>
      <c r="L301" s="13">
        <f t="shared" ref="L301:L307" si="14">SUM(F301:K301)</f>
        <v>1043204.9700000001</v>
      </c>
      <c r="M301" s="8"/>
      <c r="N301" s="164"/>
    </row>
    <row r="302" spans="1:14" s="3" customFormat="1" ht="12.2" customHeight="1" x14ac:dyDescent="0.15">
      <c r="A302" s="1" t="s">
        <v>443</v>
      </c>
      <c r="B302" s="2" t="s">
        <v>358</v>
      </c>
      <c r="C302" s="2" t="s">
        <v>295</v>
      </c>
      <c r="D302" s="2" t="s">
        <v>431</v>
      </c>
      <c r="E302" s="6">
        <v>2200</v>
      </c>
      <c r="F302" s="18">
        <v>4738.84</v>
      </c>
      <c r="G302" s="18">
        <v>1262.32</v>
      </c>
      <c r="H302" s="18">
        <v>32249.11</v>
      </c>
      <c r="I302" s="18">
        <v>7403.7</v>
      </c>
      <c r="J302" s="18">
        <v>0</v>
      </c>
      <c r="K302" s="18">
        <v>0</v>
      </c>
      <c r="L302" s="13">
        <f t="shared" si="14"/>
        <v>45653.97</v>
      </c>
      <c r="M302" s="8"/>
      <c r="N302" s="164"/>
    </row>
    <row r="303" spans="1:14" s="3" customFormat="1" ht="12.2" customHeight="1" x14ac:dyDescent="0.15">
      <c r="A303" s="1" t="s">
        <v>444</v>
      </c>
      <c r="B303" s="2" t="s">
        <v>358</v>
      </c>
      <c r="C303" s="2" t="s">
        <v>296</v>
      </c>
      <c r="D303" s="2" t="s">
        <v>431</v>
      </c>
      <c r="E303" s="6">
        <v>2300</v>
      </c>
      <c r="F303" s="18">
        <v>15136.23</v>
      </c>
      <c r="G303" s="18">
        <v>3185.74</v>
      </c>
      <c r="H303" s="18">
        <v>0</v>
      </c>
      <c r="I303" s="18">
        <v>0</v>
      </c>
      <c r="J303" s="18">
        <v>0</v>
      </c>
      <c r="K303" s="18">
        <v>0</v>
      </c>
      <c r="L303" s="13">
        <f t="shared" si="14"/>
        <v>18321.97</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125977.84</v>
      </c>
      <c r="J308" s="18">
        <v>0</v>
      </c>
      <c r="K308" s="18">
        <v>0</v>
      </c>
      <c r="L308" s="13">
        <f>SUM(F308:K308)</f>
        <v>125977.84</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1455541.6</v>
      </c>
      <c r="G310" s="39">
        <f t="shared" si="15"/>
        <v>230193.16</v>
      </c>
      <c r="H310" s="39">
        <f t="shared" si="15"/>
        <v>32249.11</v>
      </c>
      <c r="I310" s="39">
        <f t="shared" si="15"/>
        <v>133381.54</v>
      </c>
      <c r="J310" s="39">
        <f t="shared" si="15"/>
        <v>0</v>
      </c>
      <c r="K310" s="39">
        <f t="shared" si="15"/>
        <v>0</v>
      </c>
      <c r="L310" s="38">
        <f t="shared" si="15"/>
        <v>1851365.41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288026.76</v>
      </c>
      <c r="G315" s="18">
        <v>116023.87</v>
      </c>
      <c r="H315" s="18">
        <v>0</v>
      </c>
      <c r="I315" s="18">
        <v>0</v>
      </c>
      <c r="J315" s="18">
        <v>0</v>
      </c>
      <c r="K315" s="18">
        <v>0</v>
      </c>
      <c r="L315" s="13">
        <f>SUM(F315:K315)</f>
        <v>404050.63</v>
      </c>
      <c r="M315" s="8"/>
      <c r="N315" s="164"/>
    </row>
    <row r="316" spans="1:14" s="3" customFormat="1" ht="12.2" customHeight="1" x14ac:dyDescent="0.15">
      <c r="A316" s="1" t="s">
        <v>439</v>
      </c>
      <c r="B316" s="2" t="s">
        <v>359</v>
      </c>
      <c r="C316" s="2" t="s">
        <v>291</v>
      </c>
      <c r="D316" s="2" t="s">
        <v>431</v>
      </c>
      <c r="E316" s="6">
        <v>1200</v>
      </c>
      <c r="F316" s="18">
        <v>1257076.57</v>
      </c>
      <c r="G316" s="18">
        <v>1072910.94</v>
      </c>
      <c r="H316" s="18">
        <v>2666</v>
      </c>
      <c r="I316" s="18">
        <v>14701.78</v>
      </c>
      <c r="J316" s="18">
        <v>0</v>
      </c>
      <c r="K316" s="18">
        <v>0</v>
      </c>
      <c r="L316" s="13">
        <f>SUM(F316:K316)</f>
        <v>2347355.2899999996</v>
      </c>
      <c r="M316" s="8"/>
      <c r="N316" s="164"/>
    </row>
    <row r="317" spans="1:14" s="3" customFormat="1" ht="12.2" customHeight="1" x14ac:dyDescent="0.15">
      <c r="A317" s="1" t="s">
        <v>440</v>
      </c>
      <c r="B317" s="2" t="s">
        <v>359</v>
      </c>
      <c r="C317" s="2" t="s">
        <v>292</v>
      </c>
      <c r="D317" s="2" t="s">
        <v>431</v>
      </c>
      <c r="E317" s="6">
        <v>1300</v>
      </c>
      <c r="F317" s="18">
        <v>4600</v>
      </c>
      <c r="G317" s="18">
        <v>1618.54</v>
      </c>
      <c r="H317" s="18">
        <v>7509.57</v>
      </c>
      <c r="I317" s="18">
        <v>8337.36</v>
      </c>
      <c r="J317" s="18">
        <v>44086</v>
      </c>
      <c r="K317" s="18">
        <v>3755.27</v>
      </c>
      <c r="L317" s="13">
        <f>SUM(F317:K317)</f>
        <v>69906.740000000005</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4747.28</v>
      </c>
      <c r="J318" s="18">
        <v>0</v>
      </c>
      <c r="K318" s="18">
        <v>0</v>
      </c>
      <c r="L318" s="13">
        <f>SUM(F318:K318)</f>
        <v>4747.28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3825</v>
      </c>
      <c r="I320" s="18">
        <v>0</v>
      </c>
      <c r="J320" s="18">
        <v>0</v>
      </c>
      <c r="K320" s="18">
        <v>0</v>
      </c>
      <c r="L320" s="13">
        <f t="shared" ref="L320:L326" si="16">SUM(F320:K320)</f>
        <v>3825</v>
      </c>
      <c r="M320" s="8"/>
      <c r="N320" s="164"/>
    </row>
    <row r="321" spans="1:14" s="3" customFormat="1" ht="12.2" customHeight="1" x14ac:dyDescent="0.15">
      <c r="A321" s="1" t="s">
        <v>443</v>
      </c>
      <c r="B321" s="2" t="s">
        <v>359</v>
      </c>
      <c r="C321" s="2" t="s">
        <v>295</v>
      </c>
      <c r="D321" s="2" t="s">
        <v>431</v>
      </c>
      <c r="E321" s="6">
        <v>2200</v>
      </c>
      <c r="F321" s="18">
        <v>6387.14</v>
      </c>
      <c r="G321" s="18">
        <v>1701.39</v>
      </c>
      <c r="H321" s="18">
        <v>45841.07</v>
      </c>
      <c r="I321" s="18">
        <v>9978.9</v>
      </c>
      <c r="J321" s="18">
        <v>0</v>
      </c>
      <c r="K321" s="18">
        <v>1809.63</v>
      </c>
      <c r="L321" s="13">
        <f t="shared" si="16"/>
        <v>65718.13</v>
      </c>
      <c r="M321" s="8"/>
      <c r="N321" s="164"/>
    </row>
    <row r="322" spans="1:14" s="3" customFormat="1" ht="12.2" customHeight="1" x14ac:dyDescent="0.15">
      <c r="A322" s="1" t="s">
        <v>444</v>
      </c>
      <c r="B322" s="2" t="s">
        <v>359</v>
      </c>
      <c r="C322" s="2" t="s">
        <v>296</v>
      </c>
      <c r="D322" s="2" t="s">
        <v>431</v>
      </c>
      <c r="E322" s="6">
        <v>2300</v>
      </c>
      <c r="F322" s="18">
        <v>65105.8</v>
      </c>
      <c r="G322" s="18">
        <v>9302.49</v>
      </c>
      <c r="H322" s="18">
        <v>0</v>
      </c>
      <c r="I322" s="18">
        <v>0</v>
      </c>
      <c r="J322" s="18">
        <v>0</v>
      </c>
      <c r="K322" s="18">
        <v>0</v>
      </c>
      <c r="L322" s="13">
        <f t="shared" si="16"/>
        <v>74408.290000000008</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169796.22</v>
      </c>
      <c r="J327" s="18">
        <v>0</v>
      </c>
      <c r="K327" s="18">
        <v>0</v>
      </c>
      <c r="L327" s="13">
        <f>SUM(F327:K327)</f>
        <v>169796.22</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1621196.27</v>
      </c>
      <c r="G329" s="39">
        <f t="shared" si="17"/>
        <v>1201557.23</v>
      </c>
      <c r="H329" s="39">
        <f t="shared" si="17"/>
        <v>59841.64</v>
      </c>
      <c r="I329" s="39">
        <f t="shared" si="17"/>
        <v>207561.54</v>
      </c>
      <c r="J329" s="39">
        <f t="shared" si="17"/>
        <v>44086</v>
      </c>
      <c r="K329" s="39">
        <f t="shared" si="17"/>
        <v>5564.9</v>
      </c>
      <c r="L329" s="38">
        <f t="shared" si="17"/>
        <v>3139807.5799999996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4046756.64</v>
      </c>
      <c r="G339" s="38">
        <f t="shared" si="20"/>
        <v>2007362.96</v>
      </c>
      <c r="H339" s="38">
        <f t="shared" si="20"/>
        <v>270266.53000000003</v>
      </c>
      <c r="I339" s="38">
        <f t="shared" si="20"/>
        <v>645455.35000000009</v>
      </c>
      <c r="J339" s="38">
        <f t="shared" si="20"/>
        <v>47086</v>
      </c>
      <c r="K339" s="38">
        <f t="shared" si="20"/>
        <v>5564.9</v>
      </c>
      <c r="L339" s="38">
        <f t="shared" si="20"/>
        <v>7022492.379999999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4046756.64</v>
      </c>
      <c r="G353" s="38">
        <f>G339</f>
        <v>2007362.96</v>
      </c>
      <c r="H353" s="38">
        <f>H339</f>
        <v>270266.53000000003</v>
      </c>
      <c r="I353" s="38">
        <f>I339</f>
        <v>645455.35000000009</v>
      </c>
      <c r="J353" s="38">
        <f>J339</f>
        <v>47086</v>
      </c>
      <c r="K353" s="38">
        <f>K339+K352</f>
        <v>5564.9</v>
      </c>
      <c r="L353" s="38">
        <f>L339+L352</f>
        <v>7022492.379999999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220826.9</v>
      </c>
      <c r="G359" s="18">
        <v>40734.39</v>
      </c>
      <c r="H359" s="18">
        <v>24459.759999999998</v>
      </c>
      <c r="I359" s="18">
        <v>225450.5</v>
      </c>
      <c r="J359" s="18">
        <v>22723.22</v>
      </c>
      <c r="K359" s="18"/>
      <c r="L359" s="13">
        <f>SUM(F359:K359)</f>
        <v>534194.77</v>
      </c>
      <c r="M359" s="8"/>
      <c r="N359" s="164"/>
    </row>
    <row r="360" spans="1:22" s="3" customFormat="1" ht="12.2" customHeight="1" x14ac:dyDescent="0.15">
      <c r="A360" s="1" t="s">
        <v>542</v>
      </c>
      <c r="B360" s="2" t="s">
        <v>366</v>
      </c>
      <c r="C360" s="6">
        <v>2</v>
      </c>
      <c r="D360" s="2" t="s">
        <v>431</v>
      </c>
      <c r="E360" s="6"/>
      <c r="F360" s="18">
        <v>131580.67000000001</v>
      </c>
      <c r="G360" s="18">
        <v>20641.59</v>
      </c>
      <c r="H360" s="18">
        <v>14729.88</v>
      </c>
      <c r="I360" s="18">
        <v>120630.27</v>
      </c>
      <c r="J360" s="18">
        <v>821.59</v>
      </c>
      <c r="K360" s="18"/>
      <c r="L360" s="13">
        <f>SUM(F360:K360)</f>
        <v>288404.00000000006</v>
      </c>
      <c r="M360" s="8"/>
      <c r="N360" s="164"/>
    </row>
    <row r="361" spans="1:22" s="3" customFormat="1" ht="12.2" customHeight="1" x14ac:dyDescent="0.15">
      <c r="A361" s="3" t="s">
        <v>543</v>
      </c>
      <c r="B361" s="2" t="s">
        <v>366</v>
      </c>
      <c r="C361" s="6">
        <v>3</v>
      </c>
      <c r="D361" s="2" t="s">
        <v>431</v>
      </c>
      <c r="E361" s="6"/>
      <c r="F361" s="18">
        <v>124710.07</v>
      </c>
      <c r="G361" s="18">
        <v>21699.51</v>
      </c>
      <c r="H361" s="18">
        <v>19583.32</v>
      </c>
      <c r="I361" s="18">
        <v>162588.62</v>
      </c>
      <c r="J361" s="18">
        <v>1107.3599999999999</v>
      </c>
      <c r="K361" s="18"/>
      <c r="L361" s="13">
        <f>SUM(F361:K361)</f>
        <v>329688.88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477117.64</v>
      </c>
      <c r="G363" s="38">
        <f t="shared" si="22"/>
        <v>83075.489999999991</v>
      </c>
      <c r="H363" s="38">
        <f t="shared" si="22"/>
        <v>58772.959999999999</v>
      </c>
      <c r="I363" s="38">
        <f t="shared" si="22"/>
        <v>508669.39</v>
      </c>
      <c r="J363" s="38">
        <f t="shared" si="22"/>
        <v>24652.170000000002</v>
      </c>
      <c r="K363" s="38">
        <f t="shared" si="22"/>
        <v>0</v>
      </c>
      <c r="L363" s="38">
        <f t="shared" si="22"/>
        <v>1152287.6499999999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219228.25</v>
      </c>
      <c r="G368" s="18">
        <v>109614.13</v>
      </c>
      <c r="H368" s="18">
        <v>147740.78</v>
      </c>
      <c r="I368" s="13">
        <f>SUM(F368:H368)</f>
        <v>476583.16000000003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6222.25</v>
      </c>
      <c r="G369" s="53">
        <v>11016.14</v>
      </c>
      <c r="H369" s="53">
        <v>14847.84</v>
      </c>
      <c r="I369" s="13">
        <f>SUM(F369:H369)</f>
        <v>32086.23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225450.5</v>
      </c>
      <c r="G370" s="38">
        <f>SUM(G368:G369)</f>
        <v>120630.27</v>
      </c>
      <c r="H370" s="38">
        <f>SUM(H368:H369)</f>
        <v>162588.62</v>
      </c>
      <c r="I370" s="38">
        <f>SUM(I368:I369)</f>
        <v>508669.39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0</v>
      </c>
      <c r="G466" s="18">
        <v>192462.02</v>
      </c>
      <c r="H466" s="18">
        <v>908380.28</v>
      </c>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60640374.100000001</v>
      </c>
      <c r="G469" s="18">
        <v>1008498.24</v>
      </c>
      <c r="H469" s="18">
        <v>7022492.3799999999</v>
      </c>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60640374.100000001</v>
      </c>
      <c r="G471" s="19">
        <f>SUM(G469:G470)</f>
        <v>1008498.24</v>
      </c>
      <c r="H471" s="19">
        <f>SUM(H469:H470)</f>
        <v>7022492.3799999999</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60640374.100000001</v>
      </c>
      <c r="G473" s="18">
        <v>1152287.6499999999</v>
      </c>
      <c r="H473" s="18">
        <v>7022492.3799999999</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60640374.100000001</v>
      </c>
      <c r="G475" s="19">
        <f>SUM(G473:G474)</f>
        <v>1152287.6499999999</v>
      </c>
      <c r="H475" s="19">
        <f>SUM(H473:H474)</f>
        <v>7022492.3799999999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48672.610000000102</v>
      </c>
      <c r="H477" s="19">
        <f>(H466+H471)- H475</f>
        <v>908380.28000000026</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2998391.73</v>
      </c>
      <c r="G522" s="18">
        <v>556987.92000000004</v>
      </c>
      <c r="H522" s="18">
        <v>774200.71</v>
      </c>
      <c r="I522" s="18">
        <v>18183.59</v>
      </c>
      <c r="J522" s="18">
        <v>6423.82</v>
      </c>
      <c r="K522" s="18">
        <v>0</v>
      </c>
      <c r="L522" s="69">
        <f>SUM(F522:K522)</f>
        <v>4354187.7699999996</v>
      </c>
      <c r="N522" s="130"/>
    </row>
    <row r="523" spans="1:14" ht="12.2" customHeight="1" x14ac:dyDescent="0.2">
      <c r="A523" s="21" t="s">
        <v>634</v>
      </c>
      <c r="B523" s="22">
        <v>21</v>
      </c>
      <c r="C523" s="22">
        <v>2</v>
      </c>
      <c r="D523" s="2" t="s">
        <v>432</v>
      </c>
      <c r="E523" s="22"/>
      <c r="F523" s="101">
        <v>1302457.93</v>
      </c>
      <c r="G523" s="18">
        <v>276961.8</v>
      </c>
      <c r="H523" s="18">
        <v>345421.82</v>
      </c>
      <c r="I523" s="18">
        <v>2448.38</v>
      </c>
      <c r="J523" s="18">
        <v>715.92</v>
      </c>
      <c r="K523" s="18">
        <v>0</v>
      </c>
      <c r="L523" s="69">
        <f>SUM(G523:K523)</f>
        <v>625547.92000000004</v>
      </c>
      <c r="N523" s="130"/>
    </row>
    <row r="524" spans="1:14" ht="12.2" customHeight="1" thickBot="1" x14ac:dyDescent="0.25">
      <c r="A524" s="21" t="s">
        <v>635</v>
      </c>
      <c r="B524" s="22">
        <v>21</v>
      </c>
      <c r="C524" s="22">
        <v>3</v>
      </c>
      <c r="D524" s="2" t="s">
        <v>432</v>
      </c>
      <c r="E524" s="22"/>
      <c r="F524" s="18">
        <v>1994118.95</v>
      </c>
      <c r="G524" s="18">
        <v>464686.92</v>
      </c>
      <c r="H524" s="18">
        <v>1884326.94</v>
      </c>
      <c r="I524" s="18">
        <v>28763.119999999999</v>
      </c>
      <c r="J524" s="18">
        <v>6957.1</v>
      </c>
      <c r="K524" s="18">
        <v>0</v>
      </c>
      <c r="L524" s="69">
        <f>SUM(F524:K524)</f>
        <v>4378853.03</v>
      </c>
      <c r="N524" s="130"/>
    </row>
    <row r="525" spans="1:14" ht="12.2" customHeight="1" thickTop="1" x14ac:dyDescent="0.2">
      <c r="A525" s="97" t="s">
        <v>63</v>
      </c>
      <c r="B525" s="41">
        <v>21</v>
      </c>
      <c r="C525" s="41">
        <v>4</v>
      </c>
      <c r="D525" s="115" t="s">
        <v>432</v>
      </c>
      <c r="E525" s="41"/>
      <c r="F525" s="81">
        <f>SUM(F522:F524)</f>
        <v>6294968.6100000003</v>
      </c>
      <c r="G525" s="81">
        <f t="shared" ref="G525:L525" si="36">SUM(G522:G524)</f>
        <v>1298636.6399999999</v>
      </c>
      <c r="H525" s="81">
        <f t="shared" si="36"/>
        <v>3003949.4699999997</v>
      </c>
      <c r="I525" s="81">
        <f t="shared" si="36"/>
        <v>49395.09</v>
      </c>
      <c r="J525" s="81">
        <f t="shared" si="36"/>
        <v>14096.84</v>
      </c>
      <c r="K525" s="81">
        <f t="shared" si="36"/>
        <v>0</v>
      </c>
      <c r="L525" s="70">
        <f t="shared" si="36"/>
        <v>9358588.7199999988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787208.1</v>
      </c>
      <c r="G527" s="18">
        <v>206202.4</v>
      </c>
      <c r="H527" s="18">
        <v>516526.62</v>
      </c>
      <c r="I527" s="18">
        <v>20715.54</v>
      </c>
      <c r="J527" s="18">
        <v>1031.3800000000001</v>
      </c>
      <c r="K527" s="18">
        <v>608.04999999999995</v>
      </c>
      <c r="L527" s="69">
        <f>SUM(F527:K527)</f>
        <v>1532292.09</v>
      </c>
      <c r="M527" s="8"/>
      <c r="N527" s="164"/>
    </row>
    <row r="528" spans="1:14" s="3" customFormat="1" ht="12.2" customHeight="1" x14ac:dyDescent="0.15">
      <c r="A528" s="21" t="s">
        <v>634</v>
      </c>
      <c r="B528" s="22">
        <v>21</v>
      </c>
      <c r="C528" s="22">
        <v>6</v>
      </c>
      <c r="D528" s="2" t="s">
        <v>432</v>
      </c>
      <c r="E528" s="22"/>
      <c r="F528" s="18">
        <v>393604.05</v>
      </c>
      <c r="G528" s="18">
        <v>103101.2</v>
      </c>
      <c r="H528" s="18">
        <v>258263.31</v>
      </c>
      <c r="I528" s="18">
        <v>10357.77</v>
      </c>
      <c r="J528" s="18">
        <v>515.69000000000005</v>
      </c>
      <c r="K528" s="18">
        <v>304.02</v>
      </c>
      <c r="L528" s="69">
        <f>SUM(F528:K528)</f>
        <v>766146.04</v>
      </c>
      <c r="M528" s="8"/>
      <c r="N528" s="164"/>
    </row>
    <row r="529" spans="1:14" s="3" customFormat="1" ht="12.2" customHeight="1" thickBot="1" x14ac:dyDescent="0.2">
      <c r="A529" s="21" t="s">
        <v>635</v>
      </c>
      <c r="B529" s="22">
        <v>21</v>
      </c>
      <c r="C529" s="22">
        <v>7</v>
      </c>
      <c r="D529" s="2" t="s">
        <v>432</v>
      </c>
      <c r="E529" s="22"/>
      <c r="F529" s="18">
        <v>530509.81000000006</v>
      </c>
      <c r="G529" s="18">
        <v>138962.49</v>
      </c>
      <c r="H529" s="18">
        <v>348094.02</v>
      </c>
      <c r="I529" s="18">
        <v>13960.47</v>
      </c>
      <c r="J529" s="18">
        <v>695.06</v>
      </c>
      <c r="K529" s="18">
        <v>409.77</v>
      </c>
      <c r="L529" s="69">
        <f>SUM(F529:K529)</f>
        <v>1032631.6200000001</v>
      </c>
      <c r="M529" s="8"/>
      <c r="N529" s="164"/>
    </row>
    <row r="530" spans="1:14" s="3" customFormat="1" ht="12.2" customHeight="1" thickTop="1" x14ac:dyDescent="0.15">
      <c r="A530" s="97" t="s">
        <v>65</v>
      </c>
      <c r="B530" s="41">
        <v>21</v>
      </c>
      <c r="C530" s="41">
        <v>8</v>
      </c>
      <c r="D530" s="115" t="s">
        <v>432</v>
      </c>
      <c r="E530" s="41"/>
      <c r="F530" s="70">
        <f>SUM(F527:F529)</f>
        <v>1711321.96</v>
      </c>
      <c r="G530" s="70">
        <f t="shared" ref="G530:L530" si="37">SUM(G527:G529)</f>
        <v>448266.08999999997</v>
      </c>
      <c r="H530" s="70">
        <f t="shared" si="37"/>
        <v>1122883.95</v>
      </c>
      <c r="I530" s="70">
        <f t="shared" si="37"/>
        <v>45033.78</v>
      </c>
      <c r="J530" s="70">
        <f t="shared" si="37"/>
        <v>2242.13</v>
      </c>
      <c r="K530" s="70">
        <f t="shared" si="37"/>
        <v>1321.84</v>
      </c>
      <c r="L530" s="70">
        <f t="shared" si="37"/>
        <v>3331069.75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45748.17</v>
      </c>
      <c r="G532" s="18">
        <v>13519.88</v>
      </c>
      <c r="H532" s="18">
        <v>719.38</v>
      </c>
      <c r="I532" s="18"/>
      <c r="J532" s="18"/>
      <c r="K532" s="18">
        <v>1321.84</v>
      </c>
      <c r="L532" s="69">
        <f>SUM(F532:K532)</f>
        <v>61309.26999999999</v>
      </c>
      <c r="M532" s="8"/>
      <c r="N532" s="164"/>
    </row>
    <row r="533" spans="1:14" s="3" customFormat="1" ht="12.2" customHeight="1" x14ac:dyDescent="0.15">
      <c r="A533" s="21" t="s">
        <v>634</v>
      </c>
      <c r="B533" s="22">
        <v>21</v>
      </c>
      <c r="C533" s="22">
        <v>10</v>
      </c>
      <c r="D533" s="2" t="s">
        <v>432</v>
      </c>
      <c r="E533" s="22"/>
      <c r="F533" s="18">
        <v>45748.17</v>
      </c>
      <c r="G533" s="18">
        <v>13519.88</v>
      </c>
      <c r="H533" s="18"/>
      <c r="I533" s="18"/>
      <c r="J533" s="18"/>
      <c r="K533" s="18"/>
      <c r="L533" s="69">
        <f>SUM(F533:K533)</f>
        <v>59268.049999999996</v>
      </c>
      <c r="M533" s="8"/>
      <c r="N533" s="164"/>
    </row>
    <row r="534" spans="1:14" s="3" customFormat="1" ht="12.2" customHeight="1" thickBot="1" x14ac:dyDescent="0.2">
      <c r="A534" s="21" t="s">
        <v>635</v>
      </c>
      <c r="B534" s="22">
        <v>21</v>
      </c>
      <c r="C534" s="22">
        <v>11</v>
      </c>
      <c r="D534" s="2" t="s">
        <v>432</v>
      </c>
      <c r="E534" s="22"/>
      <c r="F534" s="18">
        <v>110730.76</v>
      </c>
      <c r="G534" s="18">
        <v>27039.759999999998</v>
      </c>
      <c r="H534" s="18"/>
      <c r="I534" s="18"/>
      <c r="J534" s="18"/>
      <c r="K534" s="18"/>
      <c r="L534" s="69">
        <f>SUM(F534:K534)</f>
        <v>137770.51999999999</v>
      </c>
      <c r="M534" s="8"/>
      <c r="N534" s="164"/>
    </row>
    <row r="535" spans="1:14" s="3" customFormat="1" ht="12.2" customHeight="1" thickTop="1" x14ac:dyDescent="0.15">
      <c r="A535" s="97" t="s">
        <v>67</v>
      </c>
      <c r="B535" s="41">
        <v>21</v>
      </c>
      <c r="C535" s="41">
        <v>12</v>
      </c>
      <c r="D535" s="115" t="s">
        <v>432</v>
      </c>
      <c r="E535" s="41"/>
      <c r="F535" s="70">
        <f>SUM(F532:F534)</f>
        <v>202227.09999999998</v>
      </c>
      <c r="G535" s="70">
        <f t="shared" ref="G535:L535" si="38">SUM(G532:G534)</f>
        <v>54079.519999999997</v>
      </c>
      <c r="H535" s="70">
        <f t="shared" si="38"/>
        <v>719.38</v>
      </c>
      <c r="I535" s="70">
        <f t="shared" si="38"/>
        <v>0</v>
      </c>
      <c r="J535" s="70">
        <f t="shared" si="38"/>
        <v>0</v>
      </c>
      <c r="K535" s="70">
        <f t="shared" si="38"/>
        <v>1321.84</v>
      </c>
      <c r="L535" s="70">
        <f t="shared" si="38"/>
        <v>258347.83999999997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13815.95</v>
      </c>
      <c r="I537" s="18"/>
      <c r="J537" s="18"/>
      <c r="K537" s="18"/>
      <c r="L537" s="69">
        <f>SUM(F537:K537)</f>
        <v>13815.95</v>
      </c>
      <c r="M537" s="8"/>
      <c r="N537" s="164"/>
    </row>
    <row r="538" spans="1:14" s="3" customFormat="1" ht="12.2" customHeight="1" x14ac:dyDescent="0.15">
      <c r="A538" s="21" t="s">
        <v>634</v>
      </c>
      <c r="B538" s="22">
        <v>21</v>
      </c>
      <c r="C538" s="22">
        <v>14</v>
      </c>
      <c r="D538" s="2" t="s">
        <v>432</v>
      </c>
      <c r="E538" s="22"/>
      <c r="F538" s="18"/>
      <c r="G538" s="18"/>
      <c r="H538" s="18">
        <v>6907.97</v>
      </c>
      <c r="I538" s="18"/>
      <c r="J538" s="18"/>
      <c r="K538" s="18"/>
      <c r="L538" s="69">
        <f>SUM(F538:K538)</f>
        <v>6907.97</v>
      </c>
      <c r="M538" s="8"/>
      <c r="N538" s="164"/>
    </row>
    <row r="539" spans="1:14" s="3" customFormat="1" ht="12.2" customHeight="1" thickBot="1" x14ac:dyDescent="0.2">
      <c r="A539" s="21" t="s">
        <v>635</v>
      </c>
      <c r="B539" s="22">
        <v>21</v>
      </c>
      <c r="C539" s="22">
        <v>15</v>
      </c>
      <c r="D539" s="2" t="s">
        <v>432</v>
      </c>
      <c r="E539" s="22"/>
      <c r="F539" s="18"/>
      <c r="G539" s="18"/>
      <c r="H539" s="18">
        <v>9310.75</v>
      </c>
      <c r="I539" s="18"/>
      <c r="J539" s="18"/>
      <c r="K539" s="18"/>
      <c r="L539" s="69">
        <f>SUM(F539:K539)</f>
        <v>9310.75</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30034.670000000002</v>
      </c>
      <c r="I540" s="70">
        <f t="shared" si="39"/>
        <v>0</v>
      </c>
      <c r="J540" s="70">
        <f t="shared" si="39"/>
        <v>0</v>
      </c>
      <c r="K540" s="70">
        <f t="shared" si="39"/>
        <v>0</v>
      </c>
      <c r="L540" s="70">
        <f t="shared" si="39"/>
        <v>30034.670000000002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365270.88</v>
      </c>
      <c r="I542" s="18"/>
      <c r="J542" s="18"/>
      <c r="K542" s="18"/>
      <c r="L542" s="69">
        <f>SUM(F542:K542)</f>
        <v>365270.88</v>
      </c>
      <c r="M542" s="8"/>
      <c r="N542" s="164"/>
    </row>
    <row r="543" spans="1:14" s="3" customFormat="1" ht="12.2" customHeight="1" x14ac:dyDescent="0.15">
      <c r="A543" s="21" t="s">
        <v>634</v>
      </c>
      <c r="B543" s="22">
        <v>21</v>
      </c>
      <c r="C543" s="22">
        <v>18</v>
      </c>
      <c r="D543" s="2" t="s">
        <v>432</v>
      </c>
      <c r="E543" s="22"/>
      <c r="F543" s="18"/>
      <c r="G543" s="18"/>
      <c r="H543" s="18">
        <v>182635.44</v>
      </c>
      <c r="I543" s="18"/>
      <c r="J543" s="18"/>
      <c r="K543" s="18"/>
      <c r="L543" s="69">
        <f>SUM(F543:K543)</f>
        <v>182635.44</v>
      </c>
      <c r="M543" s="8"/>
      <c r="N543" s="164"/>
    </row>
    <row r="544" spans="1:14" s="3" customFormat="1" ht="12.2" customHeight="1" thickBot="1" x14ac:dyDescent="0.2">
      <c r="A544" s="21" t="s">
        <v>635</v>
      </c>
      <c r="B544" s="22">
        <v>21</v>
      </c>
      <c r="C544" s="22">
        <v>19</v>
      </c>
      <c r="D544" s="2" t="s">
        <v>432</v>
      </c>
      <c r="E544" s="22"/>
      <c r="F544" s="18"/>
      <c r="G544" s="18"/>
      <c r="H544" s="18">
        <v>246160.81</v>
      </c>
      <c r="I544" s="18"/>
      <c r="J544" s="18"/>
      <c r="K544" s="18"/>
      <c r="L544" s="69">
        <f>SUM(F544:K544)</f>
        <v>246160.81</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794067.13000000012</v>
      </c>
      <c r="I545" s="140">
        <f t="shared" si="40"/>
        <v>0</v>
      </c>
      <c r="J545" s="140">
        <f t="shared" si="40"/>
        <v>0</v>
      </c>
      <c r="K545" s="140">
        <f t="shared" si="40"/>
        <v>0</v>
      </c>
      <c r="L545" s="140">
        <f t="shared" si="40"/>
        <v>794067.13000000012</v>
      </c>
      <c r="M545" s="8"/>
      <c r="N545" s="164"/>
    </row>
    <row r="546" spans="1:14" s="3" customFormat="1" ht="12.2" customHeight="1" thickTop="1" x14ac:dyDescent="0.15">
      <c r="A546" s="75" t="s">
        <v>72</v>
      </c>
      <c r="B546" s="41">
        <v>21</v>
      </c>
      <c r="C546" s="41">
        <v>21</v>
      </c>
      <c r="D546" s="115" t="s">
        <v>432</v>
      </c>
      <c r="E546" s="41"/>
      <c r="F546" s="70">
        <f>F525+F530+F535+F540+F545</f>
        <v>8208517.6699999999</v>
      </c>
      <c r="G546" s="70">
        <f t="shared" ref="G546:L546" si="41">G525+G530+G535+G540+G545</f>
        <v>1800982.25</v>
      </c>
      <c r="H546" s="70">
        <f t="shared" si="41"/>
        <v>4951654.5999999996</v>
      </c>
      <c r="I546" s="70">
        <f t="shared" si="41"/>
        <v>94428.87</v>
      </c>
      <c r="J546" s="70">
        <f t="shared" si="41"/>
        <v>16338.970000000001</v>
      </c>
      <c r="K546" s="70">
        <f t="shared" si="41"/>
        <v>2643.68</v>
      </c>
      <c r="L546" s="70">
        <f t="shared" si="41"/>
        <v>13772108.109999999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4354187.7699999996</v>
      </c>
      <c r="G550" s="69">
        <f>L527</f>
        <v>1532292.09</v>
      </c>
      <c r="H550" s="69">
        <f>L532</f>
        <v>61309.26999999999</v>
      </c>
      <c r="I550" s="69">
        <f>L537</f>
        <v>13815.95</v>
      </c>
      <c r="J550" s="69">
        <f>L542</f>
        <v>365270.88</v>
      </c>
      <c r="K550" s="69">
        <f>SUM(F550:J550)</f>
        <v>6326875.959999999</v>
      </c>
      <c r="L550" s="23" t="s">
        <v>288</v>
      </c>
      <c r="M550" s="8"/>
      <c r="N550" s="164"/>
    </row>
    <row r="551" spans="1:14" s="3" customFormat="1" ht="12.2" customHeight="1" x14ac:dyDescent="0.15">
      <c r="A551" s="21" t="s">
        <v>634</v>
      </c>
      <c r="B551" s="22">
        <v>21</v>
      </c>
      <c r="C551" s="22">
        <v>23</v>
      </c>
      <c r="D551" s="2" t="s">
        <v>432</v>
      </c>
      <c r="E551" s="22"/>
      <c r="F551" s="69">
        <f>L523</f>
        <v>625547.92000000004</v>
      </c>
      <c r="G551" s="69">
        <f>L528</f>
        <v>766146.04</v>
      </c>
      <c r="H551" s="69">
        <f>L533</f>
        <v>59268.049999999996</v>
      </c>
      <c r="I551" s="69">
        <f>L538</f>
        <v>6907.97</v>
      </c>
      <c r="J551" s="69">
        <f>L543</f>
        <v>182635.44</v>
      </c>
      <c r="K551" s="69">
        <f>SUM(F551:J551)</f>
        <v>1640505.42</v>
      </c>
      <c r="L551" s="23" t="s">
        <v>288</v>
      </c>
      <c r="M551" s="8"/>
      <c r="N551" s="164"/>
    </row>
    <row r="552" spans="1:14" s="3" customFormat="1" ht="12.2" customHeight="1" thickBot="1" x14ac:dyDescent="0.2">
      <c r="A552" s="21" t="s">
        <v>635</v>
      </c>
      <c r="B552" s="22">
        <v>21</v>
      </c>
      <c r="C552" s="22">
        <v>24</v>
      </c>
      <c r="D552" s="2" t="s">
        <v>432</v>
      </c>
      <c r="E552" s="22"/>
      <c r="F552" s="69">
        <f>L524</f>
        <v>4378853.03</v>
      </c>
      <c r="G552" s="69">
        <f>L529</f>
        <v>1032631.6200000001</v>
      </c>
      <c r="H552" s="69">
        <f>L534</f>
        <v>137770.51999999999</v>
      </c>
      <c r="I552" s="69">
        <f>L539</f>
        <v>9310.75</v>
      </c>
      <c r="J552" s="69">
        <f>L544</f>
        <v>246160.81</v>
      </c>
      <c r="K552" s="69">
        <f>SUM(F552:J552)</f>
        <v>5804726.7299999995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9358588.7199999988</v>
      </c>
      <c r="G553" s="70">
        <f t="shared" si="42"/>
        <v>3331069.75</v>
      </c>
      <c r="H553" s="70">
        <f t="shared" si="42"/>
        <v>258347.83999999997</v>
      </c>
      <c r="I553" s="70">
        <f t="shared" si="42"/>
        <v>30034.670000000002</v>
      </c>
      <c r="J553" s="70">
        <f t="shared" si="42"/>
        <v>794067.13000000012</v>
      </c>
      <c r="K553" s="70">
        <f t="shared" si="42"/>
        <v>13772108.109999999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166533.29999999999</v>
      </c>
      <c r="G563" s="18">
        <v>36507.599999999999</v>
      </c>
      <c r="H563" s="18"/>
      <c r="I563" s="18">
        <v>381.8</v>
      </c>
      <c r="J563" s="18"/>
      <c r="K563" s="18"/>
      <c r="L563" s="69">
        <f>SUM(F563:K563)</f>
        <v>203422.69999999998</v>
      </c>
      <c r="M563" s="8"/>
      <c r="N563" s="164"/>
    </row>
    <row r="564" spans="1:14" s="3" customFormat="1" ht="12.2" customHeight="1" x14ac:dyDescent="0.15">
      <c r="A564" s="21" t="s">
        <v>634</v>
      </c>
      <c r="B564" s="22">
        <v>22</v>
      </c>
      <c r="C564" s="22">
        <v>6</v>
      </c>
      <c r="D564" s="2" t="s">
        <v>432</v>
      </c>
      <c r="E564" s="22"/>
      <c r="F564" s="18">
        <v>125757.02</v>
      </c>
      <c r="G564" s="18">
        <v>31894.6</v>
      </c>
      <c r="H564" s="18"/>
      <c r="I564" s="18">
        <v>190.9</v>
      </c>
      <c r="J564" s="18"/>
      <c r="K564" s="18"/>
      <c r="L564" s="69">
        <f>SUM(F564:K564)</f>
        <v>157842.51999999999</v>
      </c>
      <c r="M564" s="8"/>
      <c r="N564" s="164"/>
    </row>
    <row r="565" spans="1:14" s="3" customFormat="1" ht="12.2" customHeight="1" thickBot="1" x14ac:dyDescent="0.2">
      <c r="A565" s="21" t="s">
        <v>635</v>
      </c>
      <c r="B565" s="22">
        <v>22</v>
      </c>
      <c r="C565" s="22">
        <v>7</v>
      </c>
      <c r="D565" s="2" t="s">
        <v>432</v>
      </c>
      <c r="E565" s="22"/>
      <c r="F565" s="18">
        <v>78242.539999999994</v>
      </c>
      <c r="G565" s="18">
        <v>18183.48</v>
      </c>
      <c r="H565" s="18"/>
      <c r="I565" s="18">
        <v>257.3</v>
      </c>
      <c r="J565" s="18"/>
      <c r="K565" s="18"/>
      <c r="L565" s="69">
        <f>SUM(F565:K565)</f>
        <v>96683.319999999992</v>
      </c>
      <c r="M565" s="8"/>
      <c r="N565" s="164"/>
    </row>
    <row r="566" spans="1:14" s="3" customFormat="1" ht="12.2" customHeight="1" thickTop="1" x14ac:dyDescent="0.15">
      <c r="A566" s="97" t="s">
        <v>65</v>
      </c>
      <c r="B566" s="41">
        <v>22</v>
      </c>
      <c r="C566" s="41">
        <v>8</v>
      </c>
      <c r="D566" s="115" t="s">
        <v>432</v>
      </c>
      <c r="E566" s="41"/>
      <c r="F566" s="70">
        <f t="shared" ref="F566:L566" si="44">SUM(F563:F565)</f>
        <v>370532.86</v>
      </c>
      <c r="G566" s="70">
        <f t="shared" si="44"/>
        <v>86585.68</v>
      </c>
      <c r="H566" s="70">
        <f t="shared" si="44"/>
        <v>0</v>
      </c>
      <c r="I566" s="70">
        <f t="shared" si="44"/>
        <v>830</v>
      </c>
      <c r="J566" s="70">
        <f t="shared" si="44"/>
        <v>0</v>
      </c>
      <c r="K566" s="70">
        <f t="shared" si="44"/>
        <v>0</v>
      </c>
      <c r="L566" s="70">
        <f t="shared" si="44"/>
        <v>457948.54</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370532.86</v>
      </c>
      <c r="G572" s="70">
        <f t="shared" ref="G572:L572" si="46">G561+G566+G571</f>
        <v>86585.68</v>
      </c>
      <c r="H572" s="70">
        <f t="shared" si="46"/>
        <v>0</v>
      </c>
      <c r="I572" s="70">
        <f t="shared" si="46"/>
        <v>830</v>
      </c>
      <c r="J572" s="70">
        <f t="shared" si="46"/>
        <v>0</v>
      </c>
      <c r="K572" s="70">
        <f t="shared" si="46"/>
        <v>0</v>
      </c>
      <c r="L572" s="70">
        <f t="shared" si="46"/>
        <v>457948.54</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16756.07</v>
      </c>
      <c r="G580" s="18">
        <v>80005.41</v>
      </c>
      <c r="H580" s="18">
        <v>70670.61</v>
      </c>
      <c r="I580" s="69">
        <f t="shared" si="47"/>
        <v>167432.09000000003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640383.09</v>
      </c>
      <c r="G583" s="18">
        <v>328389.44</v>
      </c>
      <c r="H583" s="18">
        <v>1411517.46</v>
      </c>
      <c r="I583" s="69">
        <f t="shared" si="47"/>
        <v>2380289.9900000002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657139.15999999992</v>
      </c>
      <c r="G589" s="79">
        <f t="shared" ref="G589:I589" si="48">SUM(G576:G588)</f>
        <v>408394.85</v>
      </c>
      <c r="H589" s="79">
        <f t="shared" si="48"/>
        <v>1482188.07</v>
      </c>
      <c r="I589" s="79">
        <f t="shared" si="48"/>
        <v>2547722.08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223537.95</v>
      </c>
      <c r="I592" s="18">
        <v>123080.94</v>
      </c>
      <c r="J592" s="18">
        <v>138788.72</v>
      </c>
      <c r="K592" s="80">
        <f t="shared" ref="K592:K598" si="49">SUM(H592:J592)</f>
        <v>485407.61</v>
      </c>
      <c r="L592" s="23" t="s">
        <v>288</v>
      </c>
      <c r="M592" s="8"/>
      <c r="N592" s="164"/>
    </row>
    <row r="593" spans="1:14" s="3" customFormat="1" ht="12.2" customHeight="1" x14ac:dyDescent="0.15">
      <c r="A593" s="3" t="s">
        <v>638</v>
      </c>
      <c r="B593" s="22">
        <v>23</v>
      </c>
      <c r="C593" s="22">
        <v>2</v>
      </c>
      <c r="D593" s="2" t="s">
        <v>432</v>
      </c>
      <c r="E593" s="22"/>
      <c r="F593" s="78">
        <v>2722</v>
      </c>
      <c r="G593" s="79" t="s">
        <v>97</v>
      </c>
      <c r="H593" s="18">
        <v>291474.13</v>
      </c>
      <c r="I593" s="18">
        <v>219416.62</v>
      </c>
      <c r="J593" s="18">
        <v>279103.40000000002</v>
      </c>
      <c r="K593" s="80">
        <f t="shared" si="49"/>
        <v>789994.15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15908.5</v>
      </c>
      <c r="J595" s="18">
        <v>114708.99</v>
      </c>
      <c r="K595" s="80">
        <f t="shared" si="49"/>
        <v>130617.49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24588.52</v>
      </c>
      <c r="I596" s="18">
        <v>25593.1</v>
      </c>
      <c r="J596" s="18">
        <v>44366.04</v>
      </c>
      <c r="K596" s="80">
        <f t="shared" si="49"/>
        <v>94547.66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539600.6</v>
      </c>
      <c r="I599" s="81">
        <f>SUM(I592:I598)</f>
        <v>383999.16</v>
      </c>
      <c r="J599" s="81">
        <f>SUM(J592:J598)</f>
        <v>576967.15</v>
      </c>
      <c r="K599" s="81">
        <f>SUM(K592:K598)</f>
        <v>1500566.91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754788.75</v>
      </c>
      <c r="I605" s="18">
        <v>76448.03</v>
      </c>
      <c r="J605" s="18">
        <v>280411.68</v>
      </c>
      <c r="K605" s="80">
        <f>SUM(H605:J605)</f>
        <v>1111648.46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754788.75</v>
      </c>
      <c r="I606" s="81">
        <f>SUM(I603:I605)</f>
        <v>76448.03</v>
      </c>
      <c r="J606" s="81">
        <f>SUM(J603:J605)</f>
        <v>280411.68</v>
      </c>
      <c r="K606" s="81">
        <f>SUM(K603:K605)</f>
        <v>1111648.46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v>109721.55</v>
      </c>
      <c r="I612" s="18">
        <v>644.64</v>
      </c>
      <c r="J612" s="18"/>
      <c r="K612" s="18"/>
      <c r="L612" s="69">
        <f>SUM(F612:K612)</f>
        <v>110366.19</v>
      </c>
      <c r="M612" s="8"/>
      <c r="N612" s="164"/>
    </row>
    <row r="613" spans="1:14" s="3" customFormat="1" ht="12.2" customHeight="1" x14ac:dyDescent="0.15">
      <c r="A613" s="21" t="s">
        <v>634</v>
      </c>
      <c r="B613" s="22">
        <v>23</v>
      </c>
      <c r="C613" s="22">
        <v>14</v>
      </c>
      <c r="D613" s="2" t="s">
        <v>432</v>
      </c>
      <c r="E613" s="22"/>
      <c r="F613" s="18">
        <v>1646.46</v>
      </c>
      <c r="G613" s="18">
        <v>348.72</v>
      </c>
      <c r="H613" s="18"/>
      <c r="I613" s="18"/>
      <c r="J613" s="18"/>
      <c r="K613" s="18"/>
      <c r="L613" s="69">
        <f>SUM(F613:K613)</f>
        <v>1995.18</v>
      </c>
      <c r="M613" s="8"/>
      <c r="N613" s="164"/>
    </row>
    <row r="614" spans="1:14" s="3" customFormat="1" ht="12.2" customHeight="1" thickBot="1" x14ac:dyDescent="0.2">
      <c r="A614" s="21" t="s">
        <v>645</v>
      </c>
      <c r="B614" s="22">
        <v>23</v>
      </c>
      <c r="C614" s="22">
        <v>15</v>
      </c>
      <c r="D614" s="2" t="s">
        <v>432</v>
      </c>
      <c r="E614" s="22"/>
      <c r="F614" s="18">
        <v>8309.5</v>
      </c>
      <c r="G614" s="18">
        <v>2201.31</v>
      </c>
      <c r="H614" s="18"/>
      <c r="I614" s="18">
        <v>4747.28</v>
      </c>
      <c r="J614" s="18"/>
      <c r="K614" s="18"/>
      <c r="L614" s="69">
        <f>SUM(F614:K614)</f>
        <v>15258.09</v>
      </c>
      <c r="M614" s="8"/>
      <c r="N614" s="164"/>
    </row>
    <row r="615" spans="1:14" s="3" customFormat="1" ht="12.2" customHeight="1" thickTop="1" x14ac:dyDescent="0.15">
      <c r="A615" s="75" t="s">
        <v>340</v>
      </c>
      <c r="B615" s="41">
        <v>23</v>
      </c>
      <c r="C615" s="41">
        <v>16</v>
      </c>
      <c r="D615" s="36" t="s">
        <v>432</v>
      </c>
      <c r="E615" s="41"/>
      <c r="F615" s="81">
        <f t="shared" ref="F615:L615" si="50">SUM(F612:F614)</f>
        <v>9955.9599999999991</v>
      </c>
      <c r="G615" s="81">
        <f t="shared" si="50"/>
        <v>2550.0299999999997</v>
      </c>
      <c r="H615" s="81">
        <f t="shared" si="50"/>
        <v>109721.55</v>
      </c>
      <c r="I615" s="81">
        <f t="shared" si="50"/>
        <v>5391.92</v>
      </c>
      <c r="J615" s="81">
        <f t="shared" si="50"/>
        <v>0</v>
      </c>
      <c r="K615" s="81">
        <f t="shared" si="50"/>
        <v>0</v>
      </c>
      <c r="L615" s="70">
        <f t="shared" si="50"/>
        <v>127619.45999999999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124955.65000000001</v>
      </c>
      <c r="H619" s="80">
        <f>SUM(G52)</f>
        <v>124955.65</v>
      </c>
      <c r="I619" s="87" t="s">
        <v>872</v>
      </c>
      <c r="J619" s="80">
        <f>G619-H619</f>
        <v>0</v>
      </c>
      <c r="K619" s="80"/>
      <c r="L619" s="80"/>
      <c r="M619" s="8"/>
    </row>
    <row r="620" spans="1:14" s="3" customFormat="1" ht="12.2" customHeight="1" x14ac:dyDescent="0.15">
      <c r="A620" s="74"/>
      <c r="B620" s="22"/>
      <c r="C620" s="22"/>
      <c r="D620" s="22"/>
      <c r="E620" s="22"/>
      <c r="F620" s="87" t="s">
        <v>685</v>
      </c>
      <c r="G620" s="80">
        <f>SUM(H19)</f>
        <v>908380.28</v>
      </c>
      <c r="H620" s="80">
        <f>SUM(H52)</f>
        <v>908380.28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48672.61</v>
      </c>
      <c r="H624" s="80">
        <f>G477</f>
        <v>48672.610000000102</v>
      </c>
      <c r="I624" s="87" t="s">
        <v>102</v>
      </c>
      <c r="J624" s="80">
        <f t="shared" si="51"/>
        <v>-1.0186340659856796E-10</v>
      </c>
      <c r="K624" s="80"/>
      <c r="L624" s="80"/>
      <c r="M624" s="8"/>
    </row>
    <row r="625" spans="1:13" s="3" customFormat="1" ht="12.2" customHeight="1" x14ac:dyDescent="0.15">
      <c r="A625" s="74"/>
      <c r="B625" s="22"/>
      <c r="C625" s="22"/>
      <c r="D625" s="22"/>
      <c r="E625" s="22"/>
      <c r="F625" s="86" t="s">
        <v>863</v>
      </c>
      <c r="G625" s="80">
        <f>H51</f>
        <v>908380.28</v>
      </c>
      <c r="H625" s="80">
        <f>H477</f>
        <v>908380.28000000026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60640374.100000009</v>
      </c>
      <c r="H628" s="80">
        <f>SUM(F469)</f>
        <v>60640374.100000001</v>
      </c>
      <c r="I628" s="87" t="s">
        <v>106</v>
      </c>
      <c r="J628" s="80">
        <f>G628-H628</f>
        <v>0</v>
      </c>
      <c r="K628" s="67"/>
      <c r="L628" s="69"/>
      <c r="M628" s="8"/>
    </row>
    <row r="629" spans="1:13" s="3" customFormat="1" ht="12.2" customHeight="1" x14ac:dyDescent="0.15">
      <c r="A629" s="21"/>
      <c r="B629" s="22"/>
      <c r="C629" s="22"/>
      <c r="D629" s="22"/>
      <c r="E629" s="22"/>
      <c r="F629" s="86" t="s">
        <v>659</v>
      </c>
      <c r="G629" s="80">
        <f>G194</f>
        <v>1008498.24</v>
      </c>
      <c r="H629" s="80">
        <f>SUM(G469)</f>
        <v>1008498.24</v>
      </c>
      <c r="I629" s="87" t="s">
        <v>107</v>
      </c>
      <c r="J629" s="80">
        <f>G629-H629</f>
        <v>0</v>
      </c>
      <c r="K629" s="67"/>
      <c r="L629" s="69"/>
      <c r="M629" s="8"/>
    </row>
    <row r="630" spans="1:13" s="3" customFormat="1" ht="12.2" customHeight="1" x14ac:dyDescent="0.15">
      <c r="A630" s="21"/>
      <c r="B630" s="22"/>
      <c r="C630" s="22"/>
      <c r="D630" s="22"/>
      <c r="E630" s="22"/>
      <c r="F630" s="86" t="s">
        <v>660</v>
      </c>
      <c r="G630" s="80">
        <f>H194</f>
        <v>7022492.3800000008</v>
      </c>
      <c r="H630" s="80">
        <f>SUM(H469)</f>
        <v>7022492.3799999999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60640374.099999994</v>
      </c>
      <c r="H633" s="80">
        <f>SUM(F473)</f>
        <v>60640374.100000001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7022492.379999999</v>
      </c>
      <c r="H634" s="80">
        <f>SUM(H473)</f>
        <v>7022492.3799999999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508669.39</v>
      </c>
      <c r="H635" s="80">
        <f>I370</f>
        <v>508669.39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1152287.6499999999</v>
      </c>
      <c r="H636" s="80">
        <f>SUM(G473)</f>
        <v>1152287.6499999999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1500566.91</v>
      </c>
      <c r="H648" s="80">
        <f>L209+L227+L245</f>
        <v>1500566.9100000001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1111648.46</v>
      </c>
      <c r="H649" s="80">
        <f>(J258+J339)-(J256+J337)</f>
        <v>1111648.46</v>
      </c>
      <c r="I649" s="87" t="s">
        <v>699</v>
      </c>
      <c r="J649" s="80">
        <f t="shared" si="51"/>
        <v>0</v>
      </c>
      <c r="K649" s="67"/>
      <c r="L649" s="69"/>
      <c r="M649" s="8"/>
    </row>
    <row r="650" spans="1:13" s="3" customFormat="1" ht="12.2" customHeight="1" x14ac:dyDescent="0.15">
      <c r="A650" s="21"/>
      <c r="B650" s="22"/>
      <c r="C650" s="22"/>
      <c r="D650" s="22"/>
      <c r="E650" s="22"/>
      <c r="F650" s="86" t="s">
        <v>387</v>
      </c>
      <c r="G650" s="80">
        <f>L209</f>
        <v>539600.6</v>
      </c>
      <c r="H650" s="80">
        <f>H599</f>
        <v>539600.6</v>
      </c>
      <c r="I650" s="87" t="s">
        <v>388</v>
      </c>
      <c r="J650" s="80">
        <f t="shared" si="51"/>
        <v>0</v>
      </c>
      <c r="K650" s="67"/>
      <c r="L650" s="69"/>
      <c r="M650" s="8"/>
    </row>
    <row r="651" spans="1:13" s="3" customFormat="1" ht="12.2" customHeight="1" x14ac:dyDescent="0.15">
      <c r="A651" s="21"/>
      <c r="B651" s="22"/>
      <c r="C651" s="22"/>
      <c r="D651" s="22"/>
      <c r="E651" s="22"/>
      <c r="F651" s="86" t="s">
        <v>392</v>
      </c>
      <c r="G651" s="80">
        <f>L227</f>
        <v>383999.16</v>
      </c>
      <c r="H651" s="80">
        <f>I599</f>
        <v>383999.16</v>
      </c>
      <c r="I651" s="87" t="s">
        <v>389</v>
      </c>
      <c r="J651" s="80">
        <f t="shared" si="51"/>
        <v>0</v>
      </c>
      <c r="K651" s="67"/>
      <c r="L651" s="69"/>
      <c r="M651" s="8"/>
    </row>
    <row r="652" spans="1:13" s="3" customFormat="1" ht="12.2" customHeight="1" x14ac:dyDescent="0.15">
      <c r="A652" s="21"/>
      <c r="B652" s="22"/>
      <c r="C652" s="22"/>
      <c r="D652" s="22"/>
      <c r="E652" s="22"/>
      <c r="F652" s="86" t="s">
        <v>393</v>
      </c>
      <c r="G652" s="80">
        <f>L245</f>
        <v>576967.15</v>
      </c>
      <c r="H652" s="80">
        <f>J599</f>
        <v>576967.15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7300.19</v>
      </c>
      <c r="H653" s="80">
        <f>K264+K346</f>
        <v>7300.19</v>
      </c>
      <c r="I653" s="87" t="s">
        <v>397</v>
      </c>
      <c r="J653" s="80">
        <f t="shared" si="51"/>
        <v>0</v>
      </c>
      <c r="K653" s="67"/>
      <c r="L653" s="69"/>
      <c r="M653" s="8"/>
    </row>
    <row r="654" spans="1:13" s="3" customFormat="1" ht="12.2" customHeight="1" x14ac:dyDescent="0.15">
      <c r="A654" s="21"/>
      <c r="B654" s="22"/>
      <c r="C654" s="22"/>
      <c r="D654" s="22"/>
      <c r="E654" s="22"/>
      <c r="F654" s="86" t="s">
        <v>666</v>
      </c>
      <c r="G654" s="80">
        <f>H180</f>
        <v>1040515</v>
      </c>
      <c r="H654" s="80">
        <f>K265</f>
        <v>1040515</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26950907.98</v>
      </c>
      <c r="G661" s="13">
        <f>(L230+L310+L360)</f>
        <v>13807313.73</v>
      </c>
      <c r="H661" s="13">
        <f>(L248+L329+L361)</f>
        <v>27009117.229999997</v>
      </c>
      <c r="I661" s="13">
        <f>SUM(F661:H661)</f>
        <v>67767338.939999998</v>
      </c>
      <c r="J661" s="13"/>
      <c r="K661" s="13"/>
      <c r="L661" s="13"/>
      <c r="M661" s="9"/>
    </row>
    <row r="662" spans="1:13" s="3" customFormat="1" ht="12.2" customHeight="1" x14ac:dyDescent="0.2">
      <c r="A662" s="1" t="s">
        <v>127</v>
      </c>
      <c r="F662" s="13">
        <f>(L359/IF(SUM(L359:L361)=0,1,SUM(L359:L361))*(SUM(G97:G110)))</f>
        <v>276530.58088242769</v>
      </c>
      <c r="G662" s="13">
        <f>(L360/IF(SUM(L359:L361)=0,1,SUM(L359:L361))*(SUM(G97:G110)))</f>
        <v>149294.84549018645</v>
      </c>
      <c r="H662" s="13">
        <f>(L361/IF(SUM(L359:L361)=0,1,SUM(L359:L361))*(SUM(G97:G110)))</f>
        <v>170666.32362738595</v>
      </c>
      <c r="I662" s="13">
        <f>SUM(F662:H662)</f>
        <v>596491.75</v>
      </c>
      <c r="J662"/>
      <c r="K662" s="13"/>
      <c r="L662" s="13"/>
      <c r="M662" s="8"/>
    </row>
    <row r="663" spans="1:13" s="3" customFormat="1" ht="12.2" customHeight="1" x14ac:dyDescent="0.2">
      <c r="A663" s="1" t="s">
        <v>128</v>
      </c>
      <c r="F663" s="13">
        <f>(L209+L288)-(J209+J288)</f>
        <v>539600.6</v>
      </c>
      <c r="G663" s="13">
        <f>(L227+L307)-(J227+J307)</f>
        <v>383999.16</v>
      </c>
      <c r="H663" s="13">
        <f>(L245+L326)-(J245+J326)</f>
        <v>576967.15</v>
      </c>
      <c r="I663" s="13">
        <f>SUM(F663:H663)</f>
        <v>1500566.9100000001</v>
      </c>
      <c r="J663"/>
      <c r="K663" s="13"/>
      <c r="L663" s="13"/>
      <c r="M663" s="9"/>
    </row>
    <row r="664" spans="1:13" s="3" customFormat="1" ht="12.2" customHeight="1" x14ac:dyDescent="0.15">
      <c r="A664" s="141" t="s">
        <v>129</v>
      </c>
      <c r="B664" s="124"/>
      <c r="C664" s="124"/>
      <c r="D664" s="124"/>
      <c r="E664" s="124"/>
      <c r="F664" s="142">
        <f>SUM(F576:F588)+SUM(H603:H605)+SUM(L612)</f>
        <v>1522294.0999999999</v>
      </c>
      <c r="G664" s="142">
        <f>SUM(G576:G588)+SUM(I603:I605)+L613</f>
        <v>486838.06</v>
      </c>
      <c r="H664" s="142">
        <f>SUM(H576:H588)+SUM(J603:J605)+L614</f>
        <v>1777857.84</v>
      </c>
      <c r="I664" s="13">
        <f>SUM(F664:H664)</f>
        <v>3786990</v>
      </c>
      <c r="J664" s="13"/>
      <c r="K664" s="13"/>
      <c r="L664" s="13"/>
      <c r="M664" s="9"/>
    </row>
    <row r="665" spans="1:13" s="3" customFormat="1" ht="12.2" customHeight="1" x14ac:dyDescent="0.15">
      <c r="A665" s="1" t="s">
        <v>130</v>
      </c>
      <c r="F665" s="13">
        <f>F661-SUM(F662:F664)</f>
        <v>24612482.699117571</v>
      </c>
      <c r="G665" s="13">
        <f>G661-SUM(G662:G664)</f>
        <v>12787181.664509814</v>
      </c>
      <c r="H665" s="13">
        <f>H661-SUM(H662:H664)</f>
        <v>24483625.916372612</v>
      </c>
      <c r="I665" s="13">
        <f>I661-SUM(I662:I664)</f>
        <v>61883290.280000001</v>
      </c>
      <c r="J665" s="13"/>
      <c r="K665" s="13"/>
      <c r="L665" s="13"/>
      <c r="M665" s="8"/>
    </row>
    <row r="666" spans="1:13" s="3" customFormat="1" ht="12.2" customHeight="1" x14ac:dyDescent="0.2">
      <c r="A666" s="1" t="s">
        <v>131</v>
      </c>
      <c r="F666" s="182">
        <v>935.25</v>
      </c>
      <c r="G666" s="183">
        <v>478.82</v>
      </c>
      <c r="H666" s="183">
        <v>1013.89</v>
      </c>
      <c r="I666" s="13">
        <f>SUM(F666:H666)</f>
        <v>2427.96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26316.47</v>
      </c>
      <c r="G668" s="13">
        <f>ROUND(G665/G666,2)</f>
        <v>26705.61</v>
      </c>
      <c r="H668" s="13">
        <f>ROUND(H665/H666,2)</f>
        <v>24148.21</v>
      </c>
      <c r="I668" s="13">
        <f>ROUND(I665/I666,2)</f>
        <v>25487.77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26316.47</v>
      </c>
      <c r="G673" s="13">
        <f>ROUND((G665+G670)/(G666+G671),2)</f>
        <v>26705.61</v>
      </c>
      <c r="H673" s="13">
        <f>ROUND((H665+H670)/(H666+H671),2)</f>
        <v>24148.21</v>
      </c>
      <c r="I673" s="13">
        <f>ROUND((I665+I670)/(I666+I671),2)</f>
        <v>25487.77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275173.28999999998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176444.27</v>
      </c>
      <c r="F9" s="271" t="s">
        <v>1612</v>
      </c>
    </row>
    <row r="10" spans="2:8" x14ac:dyDescent="0.25">
      <c r="B10" s="270"/>
      <c r="C10" s="270"/>
      <c r="D10" s="270"/>
      <c r="E10" s="270"/>
      <c r="F10" s="270"/>
    </row>
    <row r="11" spans="2:8" x14ac:dyDescent="0.25">
      <c r="B11" s="270"/>
      <c r="C11" s="274" t="s">
        <v>1616</v>
      </c>
      <c r="D11" s="271" t="s">
        <v>1619</v>
      </c>
      <c r="E11" s="259">
        <v>295.76</v>
      </c>
      <c r="F11" s="271" t="s">
        <v>1613</v>
      </c>
    </row>
    <row r="12" spans="2:8" x14ac:dyDescent="0.25">
      <c r="B12" s="270"/>
      <c r="C12" s="270"/>
      <c r="D12" s="271"/>
      <c r="E12" s="270"/>
      <c r="F12" s="270"/>
    </row>
    <row r="13" spans="2:8" x14ac:dyDescent="0.25">
      <c r="B13" s="270"/>
      <c r="C13" s="271" t="s">
        <v>1606</v>
      </c>
      <c r="D13" s="271" t="s">
        <v>1620</v>
      </c>
      <c r="E13" s="259">
        <v>1182.67</v>
      </c>
      <c r="F13" s="271" t="s">
        <v>1614</v>
      </c>
    </row>
    <row r="14" spans="2:8" x14ac:dyDescent="0.25">
      <c r="B14" s="270"/>
      <c r="C14" s="270"/>
      <c r="D14" s="271"/>
      <c r="E14" s="270"/>
      <c r="F14" s="270"/>
    </row>
    <row r="15" spans="2:8" x14ac:dyDescent="0.25">
      <c r="B15" s="270"/>
      <c r="C15" s="271" t="s">
        <v>1608</v>
      </c>
      <c r="D15" s="271" t="s">
        <v>1621</v>
      </c>
      <c r="E15" s="259">
        <v>97250.59</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Portsmouth</v>
      </c>
      <c r="C5" s="321"/>
      <c r="D5" s="321"/>
      <c r="E5" s="321"/>
      <c r="F5" s="321"/>
    </row>
    <row r="8" spans="1:9" ht="18" x14ac:dyDescent="0.25">
      <c r="A8" s="239" t="s">
        <v>1548</v>
      </c>
      <c r="F8" s="246" t="s">
        <v>1566</v>
      </c>
    </row>
    <row r="9" spans="1:9" ht="15" x14ac:dyDescent="0.2">
      <c r="A9" s="237" t="s">
        <v>1549</v>
      </c>
      <c r="B9" s="240">
        <f>'DOE25'!G97</f>
        <v>566174.61</v>
      </c>
      <c r="F9" s="237" t="s">
        <v>1562</v>
      </c>
    </row>
    <row r="10" spans="1:9" ht="15" x14ac:dyDescent="0.2">
      <c r="A10" s="237" t="s">
        <v>1550</v>
      </c>
      <c r="B10" s="240">
        <f>'DOE25'!G112-'DOE25'!G97</f>
        <v>30317.140000000014</v>
      </c>
      <c r="F10" s="237" t="s">
        <v>1563</v>
      </c>
    </row>
    <row r="11" spans="1:9" ht="15" x14ac:dyDescent="0.2">
      <c r="A11" s="237" t="s">
        <v>1551</v>
      </c>
      <c r="B11" s="240">
        <f>'DOE25'!G140</f>
        <v>9836.2800000000007</v>
      </c>
      <c r="F11" s="237" t="s">
        <v>1564</v>
      </c>
    </row>
    <row r="12" spans="1:9" ht="15" x14ac:dyDescent="0.2">
      <c r="A12" s="237" t="s">
        <v>1552</v>
      </c>
      <c r="B12" s="240">
        <f>'DOE25'!G170</f>
        <v>394870.02</v>
      </c>
      <c r="F12" s="237" t="s">
        <v>1565</v>
      </c>
    </row>
    <row r="13" spans="1:9" ht="15" x14ac:dyDescent="0.2">
      <c r="A13" s="237" t="s">
        <v>1553</v>
      </c>
      <c r="B13" s="240">
        <f>'DOE25'!G193-'DOE25'!G180</f>
        <v>0</v>
      </c>
      <c r="F13" s="237" t="s">
        <v>1575</v>
      </c>
    </row>
    <row r="14" spans="1:9" ht="18" x14ac:dyDescent="0.25">
      <c r="A14" s="239" t="s">
        <v>732</v>
      </c>
      <c r="B14" s="241">
        <f>SUM(B9:B13)</f>
        <v>1001198.05</v>
      </c>
    </row>
    <row r="16" spans="1:9" ht="18" x14ac:dyDescent="0.25">
      <c r="A16" s="239" t="s">
        <v>783</v>
      </c>
      <c r="F16" s="246" t="s">
        <v>1567</v>
      </c>
    </row>
    <row r="17" spans="1:6" ht="15" x14ac:dyDescent="0.2">
      <c r="A17" s="237" t="s">
        <v>1554</v>
      </c>
      <c r="B17" s="240">
        <f>'DOE25'!L363-'DOE25'!L362</f>
        <v>1152287.6499999999</v>
      </c>
      <c r="F17" s="237" t="s">
        <v>1568</v>
      </c>
    </row>
    <row r="18" spans="1:6" ht="15" x14ac:dyDescent="0.2">
      <c r="A18" s="237" t="s">
        <v>1555</v>
      </c>
      <c r="B18" s="250"/>
      <c r="F18" s="246" t="s">
        <v>1592</v>
      </c>
    </row>
    <row r="19" spans="1:6" ht="18" x14ac:dyDescent="0.25">
      <c r="A19" s="239" t="s">
        <v>725</v>
      </c>
      <c r="B19" s="241">
        <f>SUM(B17:B18)</f>
        <v>1152287.6499999999</v>
      </c>
    </row>
    <row r="21" spans="1:6" ht="18.75" thickBot="1" x14ac:dyDescent="0.3">
      <c r="A21" s="239" t="s">
        <v>1556</v>
      </c>
    </row>
    <row r="22" spans="1:6" ht="18.75" thickTop="1" x14ac:dyDescent="0.25">
      <c r="A22" s="239" t="s">
        <v>1557</v>
      </c>
      <c r="B22" s="245">
        <f>B14-B19</f>
        <v>-151089.59999999986</v>
      </c>
      <c r="F22" s="237" t="s">
        <v>1569</v>
      </c>
    </row>
    <row r="26" spans="1:6" ht="18" x14ac:dyDescent="0.25">
      <c r="A26" s="239" t="s">
        <v>186</v>
      </c>
    </row>
    <row r="27" spans="1:6" ht="15" x14ac:dyDescent="0.2">
      <c r="A27" s="237" t="s">
        <v>1558</v>
      </c>
      <c r="B27" s="240">
        <f>'DOE25'!G180</f>
        <v>7300.19</v>
      </c>
      <c r="F27" s="237" t="s">
        <v>1570</v>
      </c>
    </row>
    <row r="28" spans="1:6" ht="15" x14ac:dyDescent="0.2">
      <c r="A28" s="237" t="s">
        <v>1560</v>
      </c>
      <c r="B28" s="240">
        <f>'DOE25'!L362</f>
        <v>0</v>
      </c>
      <c r="F28" s="237" t="s">
        <v>1571</v>
      </c>
    </row>
    <row r="31" spans="1:6" ht="15" x14ac:dyDescent="0.2">
      <c r="A31" s="237" t="s">
        <v>1789</v>
      </c>
      <c r="B31" s="240">
        <f>'DOE25'!G466</f>
        <v>192462.02</v>
      </c>
      <c r="F31" s="237" t="s">
        <v>1572</v>
      </c>
    </row>
    <row r="33" spans="1:6" ht="15" x14ac:dyDescent="0.2">
      <c r="A33" s="237" t="s">
        <v>1790</v>
      </c>
      <c r="B33" s="240">
        <f>'DOE25'!G477</f>
        <v>48672.610000000102</v>
      </c>
      <c r="F33" s="237" t="s">
        <v>1573</v>
      </c>
    </row>
    <row r="36" spans="1:6" ht="15" x14ac:dyDescent="0.2">
      <c r="A36" s="237" t="s">
        <v>1559</v>
      </c>
      <c r="B36" s="251">
        <v>48620.79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Portsmouth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16594344.190000001</v>
      </c>
      <c r="C9" s="166">
        <f>'DOE25'!G198+'DOE25'!G216+'DOE25'!G234+'DOE25'!G277+'DOE25'!G296+'DOE25'!G315</f>
        <v>10656491.619999999</v>
      </c>
    </row>
    <row r="10" spans="1:3" x14ac:dyDescent="0.2">
      <c r="A10" t="s">
        <v>772</v>
      </c>
      <c r="B10" s="176">
        <v>16369186.52</v>
      </c>
      <c r="C10" s="176">
        <v>10484442.93</v>
      </c>
    </row>
    <row r="11" spans="1:3" x14ac:dyDescent="0.2">
      <c r="A11" t="s">
        <v>773</v>
      </c>
      <c r="B11" s="176">
        <v>225157.67</v>
      </c>
      <c r="C11" s="176">
        <v>172048.69</v>
      </c>
    </row>
    <row r="12" spans="1:3" x14ac:dyDescent="0.2">
      <c r="A12" t="s">
        <v>774</v>
      </c>
      <c r="B12" s="176"/>
      <c r="C12" s="176"/>
    </row>
    <row r="13" spans="1:3" x14ac:dyDescent="0.2">
      <c r="A13" t="str">
        <f>IF(B9=B13,IF(C9=C13,"Check Total OK","Check Total Error"),"Check Total Error")</f>
        <v>Check Total OK</v>
      </c>
      <c r="B13" s="168">
        <f>SUM(B10:B12)</f>
        <v>16594344.189999999</v>
      </c>
      <c r="C13" s="168">
        <f>SUM(C10:C12)</f>
        <v>10656491.619999999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6752428.5099999998</v>
      </c>
      <c r="C18" s="166">
        <f>'DOE25'!G199+'DOE25'!G217+'DOE25'!G235+'DOE25'!G278+'DOE25'!G297+'DOE25'!G316</f>
        <v>2980382.38</v>
      </c>
    </row>
    <row r="19" spans="1:3" x14ac:dyDescent="0.2">
      <c r="A19" t="s">
        <v>772</v>
      </c>
      <c r="B19" s="176">
        <v>5222828.91</v>
      </c>
      <c r="C19" s="176">
        <v>1564222.07</v>
      </c>
    </row>
    <row r="20" spans="1:3" x14ac:dyDescent="0.2">
      <c r="A20" t="s">
        <v>773</v>
      </c>
      <c r="B20" s="176">
        <v>1529599.6</v>
      </c>
      <c r="C20" s="176">
        <v>1416160.31</v>
      </c>
    </row>
    <row r="21" spans="1:3" x14ac:dyDescent="0.2">
      <c r="A21" t="s">
        <v>774</v>
      </c>
      <c r="B21" s="176"/>
      <c r="C21" s="176"/>
    </row>
    <row r="22" spans="1:3" x14ac:dyDescent="0.2">
      <c r="A22" t="str">
        <f>IF(B18=B22,IF(C18=C22,"Check Total OK","Check Total Error"),"Check Total Error")</f>
        <v>Check Total OK</v>
      </c>
      <c r="B22" s="168">
        <f>SUM(B19:B21)</f>
        <v>6752428.5099999998</v>
      </c>
      <c r="C22" s="168">
        <f>SUM(C19:C21)</f>
        <v>2980382.38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1236544.6300000001</v>
      </c>
      <c r="C27" s="171">
        <f>'DOE25'!G200+'DOE25'!G218+'DOE25'!G236+'DOE25'!G279+'DOE25'!G298+'DOE25'!G317</f>
        <v>572532.29</v>
      </c>
    </row>
    <row r="28" spans="1:3" x14ac:dyDescent="0.2">
      <c r="A28" t="s">
        <v>772</v>
      </c>
      <c r="B28" s="176">
        <v>1236544.6299999999</v>
      </c>
      <c r="C28" s="176">
        <v>572532.29</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1236544.6299999999</v>
      </c>
      <c r="C31" s="168">
        <f>SUM(C28:C30)</f>
        <v>572532.29</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566523.13</v>
      </c>
      <c r="C36" s="172">
        <f>'DOE25'!G201+'DOE25'!G219+'DOE25'!G237+'DOE25'!G280+'DOE25'!G299+'DOE25'!G318</f>
        <v>303200.72000000003</v>
      </c>
    </row>
    <row r="37" spans="1:3" x14ac:dyDescent="0.2">
      <c r="A37" t="s">
        <v>772</v>
      </c>
      <c r="B37" s="176">
        <v>510725.13</v>
      </c>
      <c r="C37" s="176">
        <v>272880.65000000002</v>
      </c>
    </row>
    <row r="38" spans="1:3" x14ac:dyDescent="0.2">
      <c r="A38" t="s">
        <v>773</v>
      </c>
      <c r="B38" s="176">
        <v>55798</v>
      </c>
      <c r="C38" s="176">
        <v>30320.07</v>
      </c>
    </row>
    <row r="39" spans="1:3" x14ac:dyDescent="0.2">
      <c r="A39" t="s">
        <v>774</v>
      </c>
      <c r="B39" s="176"/>
      <c r="C39" s="176"/>
    </row>
    <row r="40" spans="1:3" x14ac:dyDescent="0.2">
      <c r="A40" t="str">
        <f>IF(B36=B40,IF(C36=C40,"Check Total OK","Check Total Error"),"Check Total Error")</f>
        <v>Check Total OK</v>
      </c>
      <c r="B40" s="168">
        <f>SUM(B37:B39)</f>
        <v>566523.13</v>
      </c>
      <c r="C40" s="168">
        <f>SUM(C37:C39)</f>
        <v>303200.72000000003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mTkt1dpfAFm0WsHt/ssT8H3cpfwqO9dk1qyYizCZTFoqnrQHLsa7rGck47YC8gRCzyt8Qn3FhMrR0Lg6XQbPeA==" saltValue="SQRjhq4Dcaebp1Re3Xecqw=="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Portsmouth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38763711.459999993</v>
      </c>
      <c r="D5" s="19">
        <f>SUM('DOE25'!L198:L201)+SUM('DOE25'!L216:L219)+SUM('DOE25'!L234:L237)-F5-G5-H5</f>
        <v>38672635.829999991</v>
      </c>
      <c r="E5" s="179"/>
      <c r="F5" s="180">
        <v>0</v>
      </c>
      <c r="G5" s="19">
        <f>SUM('DOE25'!J198:J201)+SUM('DOE25'!J216:J219)+SUM('DOE25'!J234:J237)</f>
        <v>91005.63</v>
      </c>
      <c r="H5" s="19">
        <f>SUM('DOE25'!K198:K201)+SUM('DOE25'!K216:K219)+SUM('DOE25'!K234:K237)</f>
        <v>70</v>
      </c>
      <c r="I5" s="191"/>
    </row>
    <row r="6" spans="1:9" x14ac:dyDescent="0.2">
      <c r="A6" s="31">
        <v>2100</v>
      </c>
      <c r="B6" t="s">
        <v>793</v>
      </c>
      <c r="C6" s="205">
        <f t="shared" si="0"/>
        <v>5580400.79</v>
      </c>
      <c r="D6" s="19">
        <f>'DOE25'!L203+'DOE25'!L221+'DOE25'!L239-F6-G6-H6</f>
        <v>5548584.8600000003</v>
      </c>
      <c r="E6" s="179"/>
      <c r="F6" s="180">
        <v>0</v>
      </c>
      <c r="G6" s="19">
        <f>'DOE25'!J203+'DOE25'!J221+'DOE25'!J239</f>
        <v>0</v>
      </c>
      <c r="H6" s="19">
        <f>'DOE25'!K203+'DOE25'!K221+'DOE25'!K239</f>
        <v>31815.93</v>
      </c>
      <c r="I6" s="191"/>
    </row>
    <row r="7" spans="1:9" x14ac:dyDescent="0.2">
      <c r="A7" s="31">
        <v>2200</v>
      </c>
      <c r="B7" t="s">
        <v>817</v>
      </c>
      <c r="C7" s="205">
        <f t="shared" si="0"/>
        <v>936777.73</v>
      </c>
      <c r="D7" s="19">
        <f>'DOE25'!L204+'DOE25'!L222+'DOE25'!L240-F7-G7-H7</f>
        <v>931883.65</v>
      </c>
      <c r="E7" s="179"/>
      <c r="F7" s="180">
        <v>0</v>
      </c>
      <c r="G7" s="19">
        <f>'DOE25'!J204+'DOE25'!J222+'DOE25'!J240</f>
        <v>4894.08</v>
      </c>
      <c r="H7" s="19">
        <f>'DOE25'!K204+'DOE25'!K222+'DOE25'!K240</f>
        <v>0</v>
      </c>
      <c r="I7" s="191"/>
    </row>
    <row r="8" spans="1:9" x14ac:dyDescent="0.2">
      <c r="A8" s="31">
        <v>2300</v>
      </c>
      <c r="B8" t="s">
        <v>794</v>
      </c>
      <c r="C8" s="205">
        <f t="shared" si="0"/>
        <v>2224434.9299999997</v>
      </c>
      <c r="D8" s="179"/>
      <c r="E8" s="19">
        <f>'DOE25'!L205+'DOE25'!L223+'DOE25'!L241-F8-G8-H8-D9-D11</f>
        <v>2003008.53</v>
      </c>
      <c r="F8" s="180">
        <v>51466.91</v>
      </c>
      <c r="G8" s="19">
        <f>'DOE25'!J205+'DOE25'!J223+'DOE25'!J241</f>
        <v>11976</v>
      </c>
      <c r="H8" s="19">
        <f>'DOE25'!K205+'DOE25'!K223+'DOE25'!K241</f>
        <v>157983.49</v>
      </c>
      <c r="I8" s="191"/>
    </row>
    <row r="9" spans="1:9" ht="14.25" x14ac:dyDescent="0.2">
      <c r="A9" s="31">
        <v>2310</v>
      </c>
      <c r="B9" s="71" t="s">
        <v>884</v>
      </c>
      <c r="C9" s="205">
        <f t="shared" si="0"/>
        <v>67180.649999999994</v>
      </c>
      <c r="D9" s="180">
        <v>67180.649999999994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2875673.99</v>
      </c>
      <c r="D12" s="19">
        <f>'DOE25'!L206+'DOE25'!L224+'DOE25'!L242-F12-G12-H12</f>
        <v>2872816.3600000003</v>
      </c>
      <c r="E12" s="179"/>
      <c r="F12" s="180">
        <v>0</v>
      </c>
      <c r="G12" s="19">
        <f>'DOE25'!J206+'DOE25'!J224+'DOE25'!J242</f>
        <v>0</v>
      </c>
      <c r="H12" s="19">
        <f>'DOE25'!K206+'DOE25'!K224+'DOE25'!K242</f>
        <v>2857.63</v>
      </c>
      <c r="I12" s="191"/>
    </row>
    <row r="13" spans="1:9" x14ac:dyDescent="0.2">
      <c r="A13" s="31">
        <v>2500</v>
      </c>
      <c r="B13" t="s">
        <v>795</v>
      </c>
      <c r="C13" s="205">
        <f t="shared" si="0"/>
        <v>827665.94</v>
      </c>
      <c r="D13" s="179"/>
      <c r="E13" s="19">
        <f>'DOE25'!L207+'DOE25'!L225+'DOE25'!L243-F13-G13-H13</f>
        <v>824973.98</v>
      </c>
      <c r="F13" s="180">
        <v>0</v>
      </c>
      <c r="G13" s="19">
        <f>'DOE25'!J207+'DOE25'!J225+'DOE25'!J243</f>
        <v>1766.9599999999998</v>
      </c>
      <c r="H13" s="19">
        <f>'DOE25'!K207+'DOE25'!K225+'DOE25'!K243</f>
        <v>925</v>
      </c>
      <c r="I13" s="191"/>
    </row>
    <row r="14" spans="1:9" x14ac:dyDescent="0.2">
      <c r="A14" s="31">
        <v>2600</v>
      </c>
      <c r="B14" t="s">
        <v>815</v>
      </c>
      <c r="C14" s="205">
        <f t="shared" si="0"/>
        <v>5340771.3000000007</v>
      </c>
      <c r="D14" s="19">
        <f>'DOE25'!L208+'DOE25'!L226+'DOE25'!L244-F14-G14-H14</f>
        <v>3962836.9300000006</v>
      </c>
      <c r="E14" s="179"/>
      <c r="F14" s="180">
        <v>442934.58</v>
      </c>
      <c r="G14" s="19">
        <f>'DOE25'!J208+'DOE25'!J226+'DOE25'!J244</f>
        <v>934999.79</v>
      </c>
      <c r="H14" s="19">
        <f>'DOE25'!K208+'DOE25'!K226+'DOE25'!K244</f>
        <v>0</v>
      </c>
      <c r="I14" s="191"/>
    </row>
    <row r="15" spans="1:9" x14ac:dyDescent="0.2">
      <c r="A15" s="31">
        <v>2700</v>
      </c>
      <c r="B15" t="s">
        <v>796</v>
      </c>
      <c r="C15" s="205">
        <f t="shared" si="0"/>
        <v>1500566.9100000001</v>
      </c>
      <c r="D15" s="19">
        <f>'DOE25'!L209+'DOE25'!L227+'DOE25'!L245-F15-G15-H15</f>
        <v>612817.4700000002</v>
      </c>
      <c r="E15" s="179"/>
      <c r="F15" s="180">
        <v>887749.44</v>
      </c>
      <c r="G15" s="19">
        <f>'DOE25'!J209+'DOE25'!J227+'DOE25'!J245</f>
        <v>0</v>
      </c>
      <c r="H15" s="19">
        <f>'DOE25'!K209+'DOE25'!K227+'DOE25'!K245</f>
        <v>0</v>
      </c>
      <c r="I15" s="191"/>
    </row>
    <row r="16" spans="1:9" x14ac:dyDescent="0.2">
      <c r="A16" s="31">
        <v>2800</v>
      </c>
      <c r="B16" t="s">
        <v>797</v>
      </c>
      <c r="C16" s="205">
        <f t="shared" si="0"/>
        <v>1475375.21</v>
      </c>
      <c r="D16" s="179"/>
      <c r="E16" s="19">
        <f>'DOE25'!L210+'DOE25'!L228+'DOE25'!L246-F16-G16-H16</f>
        <v>1319430.94</v>
      </c>
      <c r="F16" s="180">
        <v>130716.27</v>
      </c>
      <c r="G16" s="19">
        <f>'DOE25'!J210+'DOE25'!J228+'DOE25'!J246</f>
        <v>19920</v>
      </c>
      <c r="H16" s="19">
        <f>'DOE25'!K210+'DOE25'!K228+'DOE25'!K246</f>
        <v>5308</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675704.48999999987</v>
      </c>
      <c r="D29" s="211">
        <f>'DOE25'!L359+'DOE25'!L360+'DOE25'!L361-'DOE25'!I368-F29-G29-H29-F39</f>
        <v>651052.31999999983</v>
      </c>
      <c r="E29" s="179"/>
      <c r="F29" s="179"/>
      <c r="G29" s="19">
        <f>'DOE25'!J359+'DOE25'!J360+'DOE25'!J361</f>
        <v>24652.170000000002</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7022492.379999999</v>
      </c>
      <c r="D31" s="19">
        <f>'DOE25'!L291+'DOE25'!L310+'DOE25'!L329+'DOE25'!L334+'DOE25'!L335+'DOE25'!L336-F31-G31-H31</f>
        <v>6969841.4799999986</v>
      </c>
      <c r="E31" s="179"/>
      <c r="F31" s="180">
        <v>0</v>
      </c>
      <c r="G31" s="19">
        <f>'DOE25'!J291+'DOE25'!J310+'DOE25'!J329+'DOE25'!J334+'DOE25'!J335+'DOE25'!J336</f>
        <v>47086</v>
      </c>
      <c r="H31" s="19">
        <f>'DOE25'!K291+'DOE25'!K310+'DOE25'!K329+'DOE25'!K334+'DOE25'!K335+'DOE25'!K336</f>
        <v>5564.9</v>
      </c>
      <c r="I31" s="191"/>
    </row>
    <row r="32" spans="1:9" ht="12" thickBot="1" x14ac:dyDescent="0.25">
      <c r="C32" s="206"/>
      <c r="G32" s="187"/>
      <c r="H32" s="187"/>
      <c r="I32" s="193"/>
    </row>
    <row r="33" spans="1:9" ht="12" thickTop="1" x14ac:dyDescent="0.2">
      <c r="B33" t="s">
        <v>806</v>
      </c>
      <c r="D33" s="181">
        <f t="shared" ref="D33:I33" si="1">SUM(D5:D31)</f>
        <v>60289649.549999982</v>
      </c>
      <c r="E33" s="181">
        <f t="shared" si="1"/>
        <v>4147413.4499999997</v>
      </c>
      <c r="F33" s="181">
        <f t="shared" si="1"/>
        <v>1512867.2</v>
      </c>
      <c r="G33" s="181">
        <f t="shared" si="1"/>
        <v>1136300.6299999999</v>
      </c>
      <c r="H33" s="181">
        <f t="shared" si="1"/>
        <v>204524.94999999998</v>
      </c>
      <c r="I33" s="181">
        <f t="shared" si="1"/>
        <v>0</v>
      </c>
    </row>
    <row r="34" spans="1:9" ht="12" thickBot="1" x14ac:dyDescent="0.25"/>
    <row r="35" spans="1:9" ht="12" thickBot="1" x14ac:dyDescent="0.25">
      <c r="B35" s="187" t="s">
        <v>827</v>
      </c>
      <c r="D35" s="188">
        <f>E33</f>
        <v>4147413.4499999997</v>
      </c>
      <c r="E35" s="184"/>
      <c r="F35" s="294" t="s">
        <v>1596</v>
      </c>
      <c r="G35" s="295"/>
      <c r="H35" s="295"/>
      <c r="I35" s="296"/>
    </row>
    <row r="36" spans="1:9" ht="12" thickTop="1" x14ac:dyDescent="0.2">
      <c r="B36" t="s">
        <v>807</v>
      </c>
      <c r="D36" s="19">
        <f>D33</f>
        <v>60289649.549999982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90" zoomScaleNormal="90" workbookViewId="0">
      <selection activeCell="A33" sqref="A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Portsmouth</v>
      </c>
      <c r="B2">
        <f>'DOE25'!B2</f>
        <v>449</v>
      </c>
      <c r="J2" s="223" t="s">
        <v>1799</v>
      </c>
      <c r="K2" s="308">
        <f>SUM('DOE25'!L198:L201)+SUM('DOE25'!L277:L280)</f>
        <v>18153257.369999997</v>
      </c>
      <c r="L2" s="308">
        <f>'DOE25'!L203+'DOE25'!L282</f>
        <v>1930541.08</v>
      </c>
      <c r="M2" s="308">
        <f>'DOE25'!L204+'DOE25'!L283</f>
        <v>605575.43999999994</v>
      </c>
      <c r="N2" s="308">
        <f>'DOE25'!L206+'DOE25'!L285</f>
        <v>1118184.17</v>
      </c>
      <c r="O2" s="316">
        <f>'Salaries-Benefits'!B10+'Salaries-Benefits'!B12+'Salaries-Benefits'!B19+'Salaries-Benefits'!B21+'Salaries-Benefits'!B28+'Salaries-Benefits'!B30+'Salaries-Benefits'!B37+'Salaries-Benefits'!B39</f>
        <v>23339285.189999998</v>
      </c>
      <c r="P2" s="316">
        <f>'Salaries-Benefits'!B11+'Salaries-Benefits'!B20+'Salaries-Benefits'!B29+'Salaries-Benefits'!B38</f>
        <v>1810555.27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26416713.210000001</v>
      </c>
      <c r="G4" s="228">
        <f>'DOE25'!L212+'DOE25'!L291</f>
        <v>26416713.210000001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346">
        <v>379986.25</v>
      </c>
      <c r="E5" s="347">
        <v>577152.91</v>
      </c>
      <c r="F5" s="231">
        <f>D5+E5</f>
        <v>957139.16</v>
      </c>
      <c r="G5" s="222"/>
      <c r="H5" s="222"/>
      <c r="J5" s="71" t="s">
        <v>1840</v>
      </c>
      <c r="K5" s="20">
        <v>4246920.68</v>
      </c>
      <c r="L5" s="20"/>
      <c r="M5" s="20"/>
      <c r="N5" s="20"/>
      <c r="O5" s="20"/>
      <c r="P5" s="20"/>
      <c r="Q5" s="20"/>
    </row>
    <row r="6" spans="1:22" x14ac:dyDescent="0.2">
      <c r="A6" t="str" cm="1">
        <f t="array" ref="A6">IFERROR(INDEX('School Tables'!$A$4:$G$365,'School Tables'!$J4,3),"")</f>
        <v>Little Harbour School</v>
      </c>
      <c r="B6" s="229">
        <f>IFERROR(VLOOKUP(A6,'School Tables'!$C$3:$D$365,2,FALSE),"")</f>
        <v>22515</v>
      </c>
      <c r="C6" s="222" t="str">
        <f>IFERROR(INDEX('School Tables'!$B$3:$B$365,MATCH('School Level Expenditures'!B6,'School Tables'!$D$3:$D$365,0)),"")</f>
        <v>Portsmouth</v>
      </c>
      <c r="D6" s="347">
        <v>7006570.5099999998</v>
      </c>
      <c r="E6" s="347">
        <v>561976.9</v>
      </c>
      <c r="F6" s="231">
        <f t="shared" ref="F6:F20" si="2">D6+E6</f>
        <v>7568547.4100000001</v>
      </c>
      <c r="G6" s="222"/>
      <c r="H6" s="222"/>
      <c r="J6" t="str">
        <f t="shared" ref="J6:J20" si="3">A6</f>
        <v>Little Harbour School</v>
      </c>
      <c r="K6" s="20">
        <v>4529001.12</v>
      </c>
      <c r="L6" s="20">
        <v>526371.92000000004</v>
      </c>
      <c r="M6" s="307">
        <v>211303.53</v>
      </c>
      <c r="N6" s="20">
        <v>405216.7</v>
      </c>
      <c r="O6" s="20">
        <v>2829001.08</v>
      </c>
      <c r="P6" s="20">
        <v>475568.57</v>
      </c>
      <c r="Q6" s="20">
        <v>28605.79</v>
      </c>
    </row>
    <row r="7" spans="1:22" x14ac:dyDescent="0.2">
      <c r="A7" t="str" cm="1">
        <f t="array" ref="A7">IFERROR(INDEX('School Tables'!$A$4:$G$365,'School Tables'!$J5,3),"")</f>
        <v>Mary C. Dondero Elementary School</v>
      </c>
      <c r="B7" s="229">
        <f>IFERROR(VLOOKUP(A7,'School Tables'!$C$3:$D$365,2,FALSE),"")</f>
        <v>22545</v>
      </c>
      <c r="C7" s="222" t="str">
        <f>IFERROR(INDEX('School Tables'!$B$3:$B$365,MATCH('School Level Expenditures'!B7,'School Tables'!$D$3:$D$365,0)),"")</f>
        <v>Portsmouth</v>
      </c>
      <c r="D7" s="347">
        <v>7007296.8399999999</v>
      </c>
      <c r="E7" s="347">
        <v>598017.75</v>
      </c>
      <c r="F7" s="231">
        <f t="shared" si="2"/>
        <v>7605314.5899999999</v>
      </c>
      <c r="G7" s="222"/>
      <c r="H7" s="222"/>
      <c r="J7" t="str">
        <f t="shared" si="3"/>
        <v>Mary C. Dondero Elementary School</v>
      </c>
      <c r="K7" s="20">
        <v>4070859.89</v>
      </c>
      <c r="L7" s="20">
        <v>538067.89</v>
      </c>
      <c r="M7" s="307">
        <v>262213.31</v>
      </c>
      <c r="N7" s="20">
        <v>343915.24</v>
      </c>
      <c r="O7" s="20">
        <v>2670859.89</v>
      </c>
      <c r="P7" s="20">
        <v>435221.74</v>
      </c>
      <c r="Q7" s="20">
        <v>36486.910000000003</v>
      </c>
    </row>
    <row r="8" spans="1:22" x14ac:dyDescent="0.2">
      <c r="A8" t="str" cm="1">
        <f t="array" ref="A8">IFERROR(INDEX('School Tables'!$A$4:$G$365,'School Tables'!$J6,3),"")</f>
        <v>New Franklin School</v>
      </c>
      <c r="B8" s="229">
        <f>IFERROR(VLOOKUP(A8,'School Tables'!$C$3:$D$365,2,FALSE),"")</f>
        <v>22525</v>
      </c>
      <c r="C8" s="222" t="str">
        <f>IFERROR(INDEX('School Tables'!$B$3:$B$365,MATCH('School Level Expenditures'!B8,'School Tables'!$D$3:$D$365,0)),"")</f>
        <v>Portsmouth</v>
      </c>
      <c r="D8" s="347">
        <v>6878284.1299999999</v>
      </c>
      <c r="E8" s="347">
        <v>431343.9</v>
      </c>
      <c r="F8" s="231">
        <f t="shared" si="2"/>
        <v>7309628.0300000003</v>
      </c>
      <c r="G8" s="222"/>
      <c r="H8" s="222"/>
      <c r="J8" t="str">
        <f t="shared" si="3"/>
        <v>New Franklin School</v>
      </c>
      <c r="K8" s="20">
        <v>3820398.82</v>
      </c>
      <c r="L8" s="20">
        <v>404223.09</v>
      </c>
      <c r="M8" s="307">
        <v>44759.63</v>
      </c>
      <c r="N8" s="20">
        <v>346071.4</v>
      </c>
      <c r="O8" s="20">
        <v>2099608.88</v>
      </c>
      <c r="P8" s="20">
        <v>389690.16</v>
      </c>
      <c r="Q8" s="20">
        <v>32757.88</v>
      </c>
    </row>
    <row r="9" spans="1:22" x14ac:dyDescent="0.2">
      <c r="A9" t="str" cm="1">
        <f t="array" ref="A9">IFERROR(INDEX('School Tables'!$A$4:$G$365,'School Tables'!$J7,3),"")</f>
        <v>PEEP School - Pre School Program</v>
      </c>
      <c r="B9" s="229">
        <f>IFERROR(VLOOKUP(A9,'School Tables'!$C$3:$D$365,2,FALSE),"")</f>
        <v>22560</v>
      </c>
      <c r="C9" s="222" t="str">
        <f>IFERROR(INDEX('School Tables'!$B$3:$B$365,MATCH('School Level Expenditures'!B9,'School Tables'!$D$3:$D$365,0)),"")</f>
        <v>Portsmouth</v>
      </c>
      <c r="D9" s="347">
        <v>2915623.58</v>
      </c>
      <c r="E9" s="347">
        <v>60460.44</v>
      </c>
      <c r="F9" s="231">
        <f t="shared" si="2"/>
        <v>2976084.02</v>
      </c>
      <c r="G9" s="222"/>
      <c r="H9" s="222"/>
      <c r="J9" t="str">
        <f t="shared" si="3"/>
        <v>PEEP School - Pre School Program</v>
      </c>
      <c r="K9" s="20">
        <v>1486076.86</v>
      </c>
      <c r="L9" s="20">
        <v>461878.18</v>
      </c>
      <c r="M9" s="307">
        <v>87298.97</v>
      </c>
      <c r="N9" s="20">
        <v>22980.83</v>
      </c>
      <c r="O9" s="20">
        <v>823899.93</v>
      </c>
      <c r="P9" s="20">
        <v>135421.63</v>
      </c>
      <c r="Q9" s="20">
        <v>1367.05</v>
      </c>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24187761.310000002</v>
      </c>
      <c r="E21" s="261">
        <f>SUM(E5:E20)</f>
        <v>2228951.9</v>
      </c>
      <c r="F21" s="216"/>
      <c r="G21" s="216"/>
      <c r="H21" s="216"/>
      <c r="K21" s="262">
        <f t="shared" ref="K21:Q21" si="4">SUM(K5:K20)</f>
        <v>18153257.370000001</v>
      </c>
      <c r="L21" s="262">
        <f t="shared" si="4"/>
        <v>1930541.08</v>
      </c>
      <c r="M21" s="262">
        <f t="shared" si="4"/>
        <v>605575.43999999994</v>
      </c>
      <c r="N21" s="262">
        <f t="shared" si="4"/>
        <v>1118184.17</v>
      </c>
      <c r="O21" s="262">
        <f t="shared" si="4"/>
        <v>8423369.7800000012</v>
      </c>
      <c r="P21" s="262">
        <f t="shared" si="4"/>
        <v>1435902.1</v>
      </c>
      <c r="Q21" s="262">
        <f t="shared" si="4"/>
        <v>99217.63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7473210</v>
      </c>
      <c r="L23" s="19">
        <f>'DOE25'!L221+'DOE25'!L301</f>
        <v>3064466.88</v>
      </c>
      <c r="M23" s="19">
        <f>'DOE25'!L222+'DOE25'!L302</f>
        <v>220436.91</v>
      </c>
      <c r="N23" s="19">
        <f>'DOE25'!L224+'DOE25'!L304</f>
        <v>545511.02000000014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13518909.73</v>
      </c>
      <c r="G25" s="228">
        <f>'DOE25'!L230+'DOE25'!L310</f>
        <v>13518909.73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348">
        <v>623845.18000000005</v>
      </c>
      <c r="E26" s="348">
        <v>125549.67</v>
      </c>
      <c r="F26" s="231">
        <f>D26+E26</f>
        <v>749394.85000000009</v>
      </c>
      <c r="G26" s="222"/>
      <c r="H26" s="222"/>
      <c r="J26" s="71" t="s">
        <v>1840</v>
      </c>
      <c r="K26" s="315">
        <v>515739.46</v>
      </c>
      <c r="L26" s="315"/>
      <c r="M26" s="315"/>
      <c r="N26" s="315"/>
      <c r="O26" s="315"/>
      <c r="P26" s="315"/>
      <c r="Q26" s="315"/>
    </row>
    <row r="27" spans="1:17" x14ac:dyDescent="0.2">
      <c r="A27" t="str" cm="1">
        <f t="array" ref="A27">IFERROR(INDEX('School Tables'!$L$4:$R$100,'School Tables'!$U4,3),"")</f>
        <v>Portsmouth Middle School</v>
      </c>
      <c r="B27" s="229">
        <f>IFERROR(VLOOKUP(A27,'School Tables'!$N$4:$O$100,2,FALSE),"")</f>
        <v>22510</v>
      </c>
      <c r="C27" s="222" t="str">
        <f>IFERROR(INDEX('School Tables'!$M$4:$M$100,MATCH('School Level Expenditures'!A27,'School Tables'!$N$4:$N$100,0)),"")</f>
        <v>Portsmouth</v>
      </c>
      <c r="D27" s="348">
        <v>12646999.310000001</v>
      </c>
      <c r="E27" s="348">
        <v>122515.57</v>
      </c>
      <c r="F27" s="231">
        <f t="shared" ref="F27:F33" si="6">D27+E27</f>
        <v>12769514.880000001</v>
      </c>
      <c r="G27" s="222"/>
      <c r="H27" s="222"/>
      <c r="J27" t="str">
        <f t="shared" ref="J27:J33" si="7">A27</f>
        <v>Portsmouth Middle School</v>
      </c>
      <c r="K27" s="20">
        <v>6957470.54</v>
      </c>
      <c r="L27" s="20">
        <v>3064466.88</v>
      </c>
      <c r="M27" s="307">
        <v>220436.91</v>
      </c>
      <c r="N27" s="20">
        <v>545511.02</v>
      </c>
      <c r="O27" s="20">
        <v>4199050.42</v>
      </c>
      <c r="P27" s="20">
        <v>118765.94</v>
      </c>
      <c r="Q27" s="20">
        <v>84006.2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13270844.49</v>
      </c>
      <c r="E34" s="261">
        <f>SUM(E26:E33)</f>
        <v>248065.24</v>
      </c>
      <c r="F34" s="216"/>
      <c r="G34" s="216"/>
      <c r="H34" s="216"/>
      <c r="K34" s="262">
        <f t="shared" ref="K34:Q34" si="8">SUM(K26:K33)</f>
        <v>7473210</v>
      </c>
      <c r="L34" s="262">
        <f t="shared" si="8"/>
        <v>3064466.88</v>
      </c>
      <c r="M34" s="262">
        <f t="shared" si="8"/>
        <v>220436.91</v>
      </c>
      <c r="N34" s="262">
        <f t="shared" si="8"/>
        <v>545511.02</v>
      </c>
      <c r="O34" s="262">
        <f t="shared" si="8"/>
        <v>4199050.42</v>
      </c>
      <c r="P34" s="262">
        <f t="shared" si="8"/>
        <v>118765.94</v>
      </c>
      <c r="Q34" s="262">
        <f t="shared" si="8"/>
        <v>84006.2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18232922.489999998</v>
      </c>
      <c r="L36" s="19">
        <f>'DOE25'!L239+'DOE25'!L320</f>
        <v>1632422.7999999998</v>
      </c>
      <c r="M36" s="19">
        <f>'DOE25'!L240+'DOE25'!L321</f>
        <v>313445.45</v>
      </c>
      <c r="N36" s="19">
        <f>'DOE25'!L242+'DOE25'!L323</f>
        <v>1211978.8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26679428.350000001</v>
      </c>
      <c r="G38" s="228">
        <f>'DOE25'!L248+'DOE25'!L329</f>
        <v>26679428.349999998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349">
        <v>1599020.21</v>
      </c>
      <c r="E39" s="349">
        <v>587663.93000000005</v>
      </c>
      <c r="F39" s="231">
        <f t="shared" ref="F39:F44" si="10">D39+E39</f>
        <v>2186684.14</v>
      </c>
      <c r="G39" s="222"/>
      <c r="H39" s="222"/>
      <c r="J39" s="71" t="s">
        <v>1840</v>
      </c>
      <c r="K39" s="315">
        <v>2516057.5</v>
      </c>
      <c r="L39" s="315"/>
      <c r="M39" s="315"/>
      <c r="N39" s="315"/>
      <c r="O39" s="315"/>
      <c r="P39" s="315"/>
      <c r="Q39" s="315"/>
    </row>
    <row r="40" spans="1:17" x14ac:dyDescent="0.2">
      <c r="A40" t="str" cm="1">
        <f t="array" ref="A40">IFERROR(INDEX('School Tables'!$W$4:$AC$120,'School Tables'!$AF4,3),"")</f>
        <v>Portsmouth High School</v>
      </c>
      <c r="B40" s="229">
        <f>IFERROR(VLOOKUP(A40,'School Tables'!$Y$4:$Z$120,2,FALSE),"")</f>
        <v>22565</v>
      </c>
      <c r="C40" s="222" t="str">
        <f>IFERROR(INDEX('School Tables'!$X$4:$X$120,MATCH('School Level Expenditures'!A40,'School Tables'!$Y$4:$Y$120,0)),"")</f>
        <v>Portsmouth</v>
      </c>
      <c r="D40" s="349">
        <v>23418966.170000002</v>
      </c>
      <c r="E40" s="349">
        <v>1073778.04</v>
      </c>
      <c r="F40" s="231">
        <f t="shared" si="10"/>
        <v>24492744.210000001</v>
      </c>
      <c r="G40" s="222"/>
      <c r="H40" s="222"/>
      <c r="J40" t="str">
        <f>A40</f>
        <v>Portsmouth High School</v>
      </c>
      <c r="K40" s="20">
        <v>15716864.99</v>
      </c>
      <c r="L40" s="20">
        <v>1632422.8</v>
      </c>
      <c r="M40" s="307">
        <v>313445.45</v>
      </c>
      <c r="N40" s="20">
        <v>1211978.8</v>
      </c>
      <c r="O40" s="20">
        <v>10716864.99</v>
      </c>
      <c r="P40" s="20">
        <v>255887.23</v>
      </c>
      <c r="Q40" s="20">
        <v>1011674.69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25017986.380000003</v>
      </c>
      <c r="E45" s="262">
        <f>SUM(E39:E44)</f>
        <v>1661441.9700000002</v>
      </c>
      <c r="K45" s="262">
        <f t="shared" ref="K45:Q45" si="11">SUM(K39:K44)</f>
        <v>18232922.490000002</v>
      </c>
      <c r="L45" s="262">
        <f t="shared" si="11"/>
        <v>1632422.8</v>
      </c>
      <c r="M45" s="262">
        <f t="shared" si="11"/>
        <v>313445.45</v>
      </c>
      <c r="N45" s="262">
        <f t="shared" si="11"/>
        <v>1211978.8</v>
      </c>
      <c r="O45" s="262">
        <f t="shared" si="11"/>
        <v>10716864.99</v>
      </c>
      <c r="P45" s="262">
        <f t="shared" si="11"/>
        <v>255887.23</v>
      </c>
      <c r="Q45" s="262">
        <f t="shared" si="11"/>
        <v>1011674.69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Portsmouth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1408</v>
      </c>
      <c r="E8" s="73">
        <f>'DOE25'!H9</f>
        <v>0</v>
      </c>
      <c r="F8" s="73">
        <f>'DOE25'!I9</f>
        <v>0</v>
      </c>
      <c r="G8" s="73">
        <f>'DOE25'!J9</f>
        <v>0</v>
      </c>
      <c r="H8" s="13">
        <f>SUM(C8:G8)</f>
        <v>1408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19541.310000000001</v>
      </c>
      <c r="E11" s="73">
        <f>'DOE25'!H12</f>
        <v>0</v>
      </c>
      <c r="F11" s="73">
        <f>'DOE25'!I12</f>
        <v>0</v>
      </c>
      <c r="G11" s="73">
        <f>'DOE25'!J12</f>
        <v>0</v>
      </c>
      <c r="H11" s="13">
        <f t="shared" si="0"/>
        <v>19541.310000000001</v>
      </c>
      <c r="I11" s="90"/>
    </row>
    <row r="12" spans="1:9" x14ac:dyDescent="0.2">
      <c r="A12" s="1" t="s">
        <v>143</v>
      </c>
      <c r="B12" s="6">
        <v>140</v>
      </c>
      <c r="C12" s="73">
        <f>'DOE25'!F13</f>
        <v>0</v>
      </c>
      <c r="D12" s="73">
        <f>'DOE25'!G13</f>
        <v>54029.68</v>
      </c>
      <c r="E12" s="73">
        <f>'DOE25'!H13</f>
        <v>908380.28</v>
      </c>
      <c r="F12" s="73">
        <f>'DOE25'!I13</f>
        <v>0</v>
      </c>
      <c r="G12" s="73">
        <f>'DOE25'!J13</f>
        <v>0</v>
      </c>
      <c r="H12" s="13">
        <f t="shared" si="0"/>
        <v>962409.96000000008</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49976.66</v>
      </c>
      <c r="E15" s="73">
        <f>'DOE25'!H16</f>
        <v>0</v>
      </c>
      <c r="F15" s="73">
        <f>'DOE25'!I16</f>
        <v>0</v>
      </c>
      <c r="G15" s="23" t="s">
        <v>288</v>
      </c>
      <c r="H15" s="13">
        <f t="shared" si="0"/>
        <v>49976.66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124955.65000000001</v>
      </c>
      <c r="E18" s="38">
        <f>SUM(E8:E17)</f>
        <v>908380.28</v>
      </c>
      <c r="F18" s="38">
        <f>SUM(F8:F17)</f>
        <v>0</v>
      </c>
      <c r="G18" s="38">
        <f>SUM(G8:G17)</f>
        <v>0</v>
      </c>
      <c r="H18" s="38">
        <f t="shared" si="0"/>
        <v>1033335.93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12092.22</v>
      </c>
      <c r="E23" s="73">
        <f>'DOE25'!H24</f>
        <v>0</v>
      </c>
      <c r="F23" s="73">
        <f>'DOE25'!I24</f>
        <v>0</v>
      </c>
      <c r="G23" s="73">
        <f>'DOE25'!J24</f>
        <v>0</v>
      </c>
      <c r="H23" s="13">
        <f t="shared" si="1"/>
        <v>12092.22</v>
      </c>
      <c r="I23" s="90"/>
    </row>
    <row r="24" spans="1:9" x14ac:dyDescent="0.2">
      <c r="A24" s="1" t="s">
        <v>153</v>
      </c>
      <c r="B24" s="6">
        <v>430</v>
      </c>
      <c r="C24" s="73">
        <f>'DOE25'!F25</f>
        <v>0</v>
      </c>
      <c r="D24" s="73">
        <f>'DOE25'!G25</f>
        <v>36097.129999999997</v>
      </c>
      <c r="E24" s="73">
        <f>'DOE25'!H25</f>
        <v>0</v>
      </c>
      <c r="F24" s="73">
        <f>'DOE25'!I25</f>
        <v>0</v>
      </c>
      <c r="G24" s="23" t="s">
        <v>288</v>
      </c>
      <c r="H24" s="13">
        <f t="shared" si="1"/>
        <v>36097.129999999997</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28093.69</v>
      </c>
      <c r="E29" s="73">
        <f>'DOE25'!H30</f>
        <v>0</v>
      </c>
      <c r="F29" s="73">
        <f>'DOE25'!I30</f>
        <v>0</v>
      </c>
      <c r="G29" s="23" t="s">
        <v>288</v>
      </c>
      <c r="H29" s="13">
        <f t="shared" si="1"/>
        <v>28093.69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76283.039999999994</v>
      </c>
      <c r="E31" s="38">
        <f>SUM(E21:E30)</f>
        <v>0</v>
      </c>
      <c r="F31" s="38">
        <f>SUM(F21:F30)</f>
        <v>0</v>
      </c>
      <c r="G31" s="38">
        <f>SUM(G21:G30)</f>
        <v>0</v>
      </c>
      <c r="H31" s="38">
        <f t="shared" si="1"/>
        <v>76283.039999999994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48672.61</v>
      </c>
      <c r="E39" s="23" t="s">
        <v>288</v>
      </c>
      <c r="F39" s="23" t="s">
        <v>288</v>
      </c>
      <c r="G39" s="23" t="s">
        <v>288</v>
      </c>
      <c r="H39" s="13">
        <f t="shared" si="2"/>
        <v>48672.61</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908380.28</v>
      </c>
      <c r="F47" s="73">
        <f>'DOE25'!I48</f>
        <v>0</v>
      </c>
      <c r="G47" s="73">
        <f>'DOE25'!J48</f>
        <v>0</v>
      </c>
      <c r="H47" s="13">
        <f t="shared" si="2"/>
        <v>908380.28</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48672.61</v>
      </c>
      <c r="E50" s="38">
        <f>SUM(E34:E49)</f>
        <v>908380.28</v>
      </c>
      <c r="F50" s="38">
        <f>SUM(F34:F49)</f>
        <v>0</v>
      </c>
      <c r="G50" s="38">
        <f>SUM(G34:G49)</f>
        <v>0</v>
      </c>
      <c r="H50" s="38">
        <f t="shared" si="2"/>
        <v>957052.89</v>
      </c>
      <c r="I50" s="90"/>
    </row>
    <row r="51" spans="1:9" ht="12" thickTop="1" x14ac:dyDescent="0.2">
      <c r="A51" s="35" t="s">
        <v>881</v>
      </c>
      <c r="B51" s="2"/>
      <c r="C51" s="38">
        <f>C50+C31</f>
        <v>0</v>
      </c>
      <c r="D51" s="38">
        <f>D50+D31</f>
        <v>124955.65</v>
      </c>
      <c r="E51" s="38">
        <f>E50+E31</f>
        <v>908380.28</v>
      </c>
      <c r="F51" s="38">
        <f>F50+F31</f>
        <v>0</v>
      </c>
      <c r="G51" s="38">
        <f>G50+G31</f>
        <v>0</v>
      </c>
      <c r="H51" s="38">
        <f t="shared" si="2"/>
        <v>1033335.93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40398334.920000002</v>
      </c>
      <c r="D56" s="73">
        <f>'DOE25'!G60</f>
        <v>0</v>
      </c>
      <c r="E56" s="73">
        <f>'DOE25'!H60</f>
        <v>0</v>
      </c>
      <c r="F56" s="73">
        <f>'DOE25'!I60</f>
        <v>0</v>
      </c>
      <c r="G56" s="73">
        <f>'DOE25'!J60</f>
        <v>0</v>
      </c>
      <c r="H56" s="13">
        <f t="shared" ref="H56:H63" si="3">SUM(C56:G56)</f>
        <v>40398334.920000002</v>
      </c>
      <c r="I56"/>
    </row>
    <row r="57" spans="1:9" x14ac:dyDescent="0.2">
      <c r="A57" s="1" t="s">
        <v>164</v>
      </c>
      <c r="B57" s="6" t="s">
        <v>165</v>
      </c>
      <c r="C57" s="73">
        <f>'DOE25'!F79</f>
        <v>6918155.9500000002</v>
      </c>
      <c r="D57" s="23" t="s">
        <v>288</v>
      </c>
      <c r="E57" s="73">
        <f>'DOE25'!H79</f>
        <v>1765720.31</v>
      </c>
      <c r="F57" s="23" t="s">
        <v>288</v>
      </c>
      <c r="G57" s="23" t="s">
        <v>288</v>
      </c>
      <c r="H57" s="13">
        <f t="shared" si="3"/>
        <v>8683876.2599999998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566174.61</v>
      </c>
      <c r="E60" s="23" t="s">
        <v>288</v>
      </c>
      <c r="F60" s="23" t="s">
        <v>288</v>
      </c>
      <c r="G60" s="23" t="s">
        <v>288</v>
      </c>
      <c r="H60" s="13">
        <f t="shared" si="3"/>
        <v>566174.61</v>
      </c>
      <c r="I60"/>
    </row>
    <row r="61" spans="1:9" ht="12" thickBot="1" x14ac:dyDescent="0.25">
      <c r="A61" s="1" t="s">
        <v>172</v>
      </c>
      <c r="B61" s="22" t="s">
        <v>173</v>
      </c>
      <c r="C61" s="73">
        <f>SUM('DOE25'!F98:F110)</f>
        <v>371966.19999999995</v>
      </c>
      <c r="D61" s="73">
        <f>SUM('DOE25'!G98:G110)</f>
        <v>30317.14</v>
      </c>
      <c r="E61" s="73">
        <f>SUM('DOE25'!H98:H110)</f>
        <v>77797.960000000006</v>
      </c>
      <c r="F61" s="73">
        <f>SUM('DOE25'!I98:I110)</f>
        <v>0</v>
      </c>
      <c r="G61" s="73">
        <f>SUM('DOE25'!J98:J110)</f>
        <v>0</v>
      </c>
      <c r="H61" s="13">
        <f t="shared" si="3"/>
        <v>480081.3</v>
      </c>
      <c r="I61"/>
    </row>
    <row r="62" spans="1:9" ht="12.75" thickTop="1" thickBot="1" x14ac:dyDescent="0.25">
      <c r="A62" s="28" t="s">
        <v>174</v>
      </c>
      <c r="B62" s="6"/>
      <c r="C62" s="93">
        <f>SUM(C57:C61)</f>
        <v>7290122.1500000004</v>
      </c>
      <c r="D62" s="93">
        <f>SUM(D57:D61)</f>
        <v>596491.75</v>
      </c>
      <c r="E62" s="93">
        <f>SUM(E57:E61)</f>
        <v>1843518.27</v>
      </c>
      <c r="F62" s="93">
        <f>SUM(F57:F61)</f>
        <v>0</v>
      </c>
      <c r="G62" s="93">
        <f>SUM(G57:G61)</f>
        <v>0</v>
      </c>
      <c r="H62" s="13">
        <f t="shared" si="3"/>
        <v>9730132.1699999999</v>
      </c>
      <c r="I62"/>
    </row>
    <row r="63" spans="1:9" ht="12" thickTop="1" x14ac:dyDescent="0.2">
      <c r="A63" s="28" t="s">
        <v>175</v>
      </c>
      <c r="B63" s="6"/>
      <c r="C63" s="21">
        <f>C56+C62</f>
        <v>47688457.07</v>
      </c>
      <c r="D63" s="21">
        <f>D56+D62</f>
        <v>596491.75</v>
      </c>
      <c r="E63" s="21">
        <f>E56+E62</f>
        <v>1843518.27</v>
      </c>
      <c r="F63" s="21">
        <f>F56+F62</f>
        <v>0</v>
      </c>
      <c r="G63" s="21">
        <f>G56+G62</f>
        <v>0</v>
      </c>
      <c r="H63" s="13">
        <f t="shared" si="3"/>
        <v>50128467.090000004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11410459</v>
      </c>
      <c r="D67" s="23"/>
      <c r="E67" s="23"/>
      <c r="F67" s="23"/>
      <c r="G67" s="23"/>
      <c r="H67" s="13">
        <f t="shared" si="4"/>
        <v>11410459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6314.23</v>
      </c>
      <c r="D69" s="73">
        <f>'DOE25'!G120</f>
        <v>0</v>
      </c>
      <c r="E69" s="73">
        <f>'DOE25'!H120</f>
        <v>0</v>
      </c>
      <c r="F69" s="73">
        <f>'DOE25'!I120</f>
        <v>0</v>
      </c>
      <c r="G69" s="73">
        <f>'DOE25'!J120</f>
        <v>0</v>
      </c>
      <c r="H69" s="13">
        <f t="shared" si="4"/>
        <v>6314.23</v>
      </c>
      <c r="I69"/>
    </row>
    <row r="70" spans="1:9" ht="12" thickTop="1" x14ac:dyDescent="0.2">
      <c r="A70" s="28" t="s">
        <v>252</v>
      </c>
      <c r="B70" s="2"/>
      <c r="C70" s="97">
        <f>SUM(C66:C69)</f>
        <v>11416773.23</v>
      </c>
      <c r="D70" s="97">
        <f>D69</f>
        <v>0</v>
      </c>
      <c r="E70" s="97">
        <f>E69</f>
        <v>0</v>
      </c>
      <c r="F70" s="97">
        <f>F69</f>
        <v>0</v>
      </c>
      <c r="G70" s="97">
        <f>G69</f>
        <v>0</v>
      </c>
      <c r="H70" s="13">
        <f t="shared" si="4"/>
        <v>11416773.23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740974.05</v>
      </c>
      <c r="D72" s="23" t="s">
        <v>288</v>
      </c>
      <c r="E72" s="23" t="s">
        <v>288</v>
      </c>
      <c r="F72" s="73">
        <f>'DOE25'!I123</f>
        <v>0</v>
      </c>
      <c r="G72" s="23" t="s">
        <v>288</v>
      </c>
      <c r="H72" s="13">
        <f t="shared" si="4"/>
        <v>740974.05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792975.75</v>
      </c>
      <c r="D75" s="23" t="s">
        <v>288</v>
      </c>
      <c r="E75" s="23" t="s">
        <v>288</v>
      </c>
      <c r="F75" s="23" t="s">
        <v>288</v>
      </c>
      <c r="G75" s="23" t="s">
        <v>288</v>
      </c>
      <c r="H75" s="13">
        <f t="shared" si="4"/>
        <v>792975.75</v>
      </c>
      <c r="I75"/>
    </row>
    <row r="76" spans="1:9" x14ac:dyDescent="0.2">
      <c r="A76" s="1" t="s">
        <v>257</v>
      </c>
      <c r="B76" s="6" t="s">
        <v>179</v>
      </c>
      <c r="C76" s="73">
        <f>SUM('DOE25'!F127:F130)</f>
        <v>1194</v>
      </c>
      <c r="D76" s="23" t="s">
        <v>288</v>
      </c>
      <c r="E76" s="73">
        <f>SUM('DOE25'!H127:H130)</f>
        <v>0</v>
      </c>
      <c r="F76" s="73">
        <f>SUM('DOE25'!I127:I130)</f>
        <v>0</v>
      </c>
      <c r="G76" s="23" t="s">
        <v>288</v>
      </c>
      <c r="H76" s="13">
        <f t="shared" si="4"/>
        <v>1194</v>
      </c>
      <c r="I76"/>
    </row>
    <row r="77" spans="1:9" ht="12" thickBot="1" x14ac:dyDescent="0.25">
      <c r="A77" s="1" t="s">
        <v>258</v>
      </c>
      <c r="B77" s="6" t="s">
        <v>180</v>
      </c>
      <c r="C77" s="73">
        <f>SUM('DOE25'!F131:F135)</f>
        <v>0</v>
      </c>
      <c r="D77" s="73">
        <f>SUM('DOE25'!G131:G135)</f>
        <v>9836.2800000000007</v>
      </c>
      <c r="E77" s="73">
        <f>SUM('DOE25'!H131:H135)</f>
        <v>0</v>
      </c>
      <c r="F77" s="73">
        <f>SUM('DOE25'!I131:I135)</f>
        <v>0</v>
      </c>
      <c r="G77" s="73">
        <f>SUM('DOE25'!J131:J135)</f>
        <v>0</v>
      </c>
      <c r="H77" s="13">
        <f t="shared" si="4"/>
        <v>9836.2800000000007</v>
      </c>
      <c r="I77"/>
    </row>
    <row r="78" spans="1:9" ht="12.75" thickTop="1" thickBot="1" x14ac:dyDescent="0.25">
      <c r="A78" s="28" t="s">
        <v>259</v>
      </c>
      <c r="B78" s="6"/>
      <c r="C78" s="93">
        <f>SUM(C72:C77)</f>
        <v>1535143.8</v>
      </c>
      <c r="D78" s="93">
        <f>SUM(D72:D77)</f>
        <v>9836.2800000000007</v>
      </c>
      <c r="E78" s="93">
        <f>SUM(E72:E77)</f>
        <v>0</v>
      </c>
      <c r="F78" s="93">
        <f>SUM(F72:F77)</f>
        <v>0</v>
      </c>
      <c r="G78" s="93">
        <f>SUM(G72:G77)</f>
        <v>0</v>
      </c>
      <c r="H78" s="13">
        <f t="shared" si="4"/>
        <v>1544980.08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12951917.030000001</v>
      </c>
      <c r="D81" s="93">
        <f>SUM(D79:D80)+D78+D70</f>
        <v>9836.2800000000007</v>
      </c>
      <c r="E81" s="93">
        <f>SUM(E79:E80)+E78+E70</f>
        <v>0</v>
      </c>
      <c r="F81" s="93">
        <f>SUM(F79:F80)+F78+F70</f>
        <v>0</v>
      </c>
      <c r="G81" s="93">
        <f>SUM(G79:G80)+G78+G70</f>
        <v>0</v>
      </c>
      <c r="H81" s="93">
        <f t="shared" si="4"/>
        <v>12961753.310000001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394870.02</v>
      </c>
      <c r="E88" s="252">
        <f>SUM('DOE25'!H153:H162)</f>
        <v>4138459.1100000003</v>
      </c>
      <c r="F88" s="252">
        <f>SUM('DOE25'!I153:I162)</f>
        <v>0</v>
      </c>
      <c r="G88" s="23" t="s">
        <v>288</v>
      </c>
      <c r="H88" s="13">
        <f t="shared" si="5"/>
        <v>4533329.1300000008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394870.02</v>
      </c>
      <c r="E91" s="94">
        <f>SUM(E85:E90)</f>
        <v>4138459.1100000003</v>
      </c>
      <c r="F91" s="94">
        <f>SUM(F85:F90)</f>
        <v>0</v>
      </c>
      <c r="G91" s="23" t="s">
        <v>288</v>
      </c>
      <c r="H91" s="13">
        <f t="shared" si="5"/>
        <v>4533329.1300000008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7300.19</v>
      </c>
      <c r="E96" s="73">
        <f>'DOE25'!H180</f>
        <v>1040515</v>
      </c>
      <c r="F96" s="73">
        <f>'DOE25'!I180</f>
        <v>0</v>
      </c>
      <c r="G96" s="73">
        <f>'DOE25'!J180</f>
        <v>0</v>
      </c>
      <c r="H96" s="13">
        <f t="shared" si="5"/>
        <v>1047815.19</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7300.19</v>
      </c>
      <c r="E103" s="68">
        <f>SUM(E93:E102)</f>
        <v>1040515</v>
      </c>
      <c r="F103" s="68">
        <f>SUM(F93:F102)</f>
        <v>0</v>
      </c>
      <c r="G103" s="68">
        <f>SUM(G93:G102)</f>
        <v>0</v>
      </c>
      <c r="H103" s="68">
        <f t="shared" si="5"/>
        <v>1047815.19</v>
      </c>
    </row>
    <row r="104" spans="1:8" ht="12.75" thickTop="1" thickBot="1" x14ac:dyDescent="0.25">
      <c r="A104" s="32" t="s">
        <v>758</v>
      </c>
      <c r="C104" s="68">
        <f>C63+C81+C91+C103</f>
        <v>60640374.100000001</v>
      </c>
      <c r="D104" s="68">
        <f>D63+D81+D91+D103</f>
        <v>1008498.24</v>
      </c>
      <c r="E104" s="68">
        <f>E63+E81+E91+E103</f>
        <v>7022492.3800000008</v>
      </c>
      <c r="F104" s="68">
        <f>F63+F81+F91+F103</f>
        <v>0</v>
      </c>
      <c r="G104" s="68">
        <f>G63+G81+G103</f>
        <v>0</v>
      </c>
      <c r="H104" s="68">
        <f t="shared" si="5"/>
        <v>68671364.719999999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26177727.810000002</v>
      </c>
      <c r="D109" s="23" t="s">
        <v>288</v>
      </c>
      <c r="E109" s="73">
        <f>('DOE25'!L277)+('DOE25'!L296)+('DOE25'!L315)</f>
        <v>1676212.75</v>
      </c>
      <c r="F109" s="23" t="s">
        <v>288</v>
      </c>
      <c r="G109" s="23" t="s">
        <v>288</v>
      </c>
      <c r="H109" s="13">
        <f t="shared" ref="H109:H115" si="6">SUM(C109:G109)</f>
        <v>27853940.560000002</v>
      </c>
    </row>
    <row r="110" spans="1:8" x14ac:dyDescent="0.2">
      <c r="A110" t="s">
        <v>198</v>
      </c>
      <c r="B110" s="31" t="s">
        <v>199</v>
      </c>
      <c r="C110" s="73">
        <f>('DOE25'!L199)+('DOE25'!L217)+('DOE25'!L235)</f>
        <v>9682359.9399999976</v>
      </c>
      <c r="D110" s="23" t="s">
        <v>288</v>
      </c>
      <c r="E110" s="73">
        <f>('DOE25'!L278)+('DOE25'!L297)+('DOE25'!L316)</f>
        <v>3157481.4999999995</v>
      </c>
      <c r="F110" s="23" t="s">
        <v>288</v>
      </c>
      <c r="G110" s="23" t="s">
        <v>288</v>
      </c>
      <c r="H110" s="13">
        <f t="shared" si="6"/>
        <v>12839841.439999998</v>
      </c>
    </row>
    <row r="111" spans="1:8" x14ac:dyDescent="0.2">
      <c r="A111" t="s">
        <v>200</v>
      </c>
      <c r="B111" s="31" t="s">
        <v>165</v>
      </c>
      <c r="C111" s="73">
        <f>('DOE25'!L200)+('DOE25'!L218)+('DOE25'!L236)</f>
        <v>1869887.6999999997</v>
      </c>
      <c r="D111" s="23" t="s">
        <v>288</v>
      </c>
      <c r="E111" s="73">
        <f>('DOE25'!L279)+('DOE25'!L298)+('DOE25'!L317)</f>
        <v>69906.740000000005</v>
      </c>
      <c r="F111" s="23" t="s">
        <v>288</v>
      </c>
      <c r="G111" s="23" t="s">
        <v>288</v>
      </c>
      <c r="H111" s="13">
        <f t="shared" si="6"/>
        <v>1939794.4399999997</v>
      </c>
    </row>
    <row r="112" spans="1:8" x14ac:dyDescent="0.2">
      <c r="A112" t="s">
        <v>201</v>
      </c>
      <c r="B112" s="31" t="s">
        <v>167</v>
      </c>
      <c r="C112" s="73">
        <f>('DOE25'!L201)+('DOE25'!L219)+('DOE25'!L237)</f>
        <v>1033736.01</v>
      </c>
      <c r="D112" s="23" t="s">
        <v>288</v>
      </c>
      <c r="E112" s="73">
        <f>+('DOE25'!L280)+('DOE25'!L299)+('DOE25'!L318)</f>
        <v>192077.41</v>
      </c>
      <c r="F112" s="23" t="s">
        <v>288</v>
      </c>
      <c r="G112" s="23" t="s">
        <v>288</v>
      </c>
      <c r="H112" s="13">
        <f t="shared" si="6"/>
        <v>1225813.42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38763711.460000001</v>
      </c>
      <c r="D115" s="68">
        <f>SUM(D109:D114)</f>
        <v>0</v>
      </c>
      <c r="E115" s="68">
        <f>SUM(E109:E114)</f>
        <v>5095678.4000000004</v>
      </c>
      <c r="F115" s="68">
        <f>SUM(F109:F114)</f>
        <v>0</v>
      </c>
      <c r="G115" s="68">
        <f>SUM(G109:G114)</f>
        <v>0</v>
      </c>
      <c r="H115" s="68">
        <f t="shared" si="6"/>
        <v>43859389.859999999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5580400.79</v>
      </c>
      <c r="D118" s="23" t="s">
        <v>288</v>
      </c>
      <c r="E118" s="73">
        <f>+('DOE25'!L282)+('DOE25'!L301)+('DOE25'!L320)</f>
        <v>1047029.9700000001</v>
      </c>
      <c r="F118" s="23" t="s">
        <v>288</v>
      </c>
      <c r="G118" s="23" t="s">
        <v>288</v>
      </c>
      <c r="H118" s="13">
        <f t="shared" ref="H118:H145" si="7">SUM(C118:G118)</f>
        <v>6627430.7599999998</v>
      </c>
    </row>
    <row r="119" spans="1:8" x14ac:dyDescent="0.2">
      <c r="A119" t="s">
        <v>208</v>
      </c>
      <c r="B119" s="31" t="s">
        <v>209</v>
      </c>
      <c r="C119" s="73">
        <f>('DOE25'!L204)+('DOE25'!L222)+('DOE25'!L240)</f>
        <v>936777.73</v>
      </c>
      <c r="D119" s="23" t="s">
        <v>288</v>
      </c>
      <c r="E119" s="73">
        <f>+('DOE25'!L283)+('DOE25'!L302)+('DOE25'!L321)</f>
        <v>202680.07</v>
      </c>
      <c r="F119" s="23" t="s">
        <v>288</v>
      </c>
      <c r="G119" s="23" t="s">
        <v>288</v>
      </c>
      <c r="H119" s="13">
        <f t="shared" si="7"/>
        <v>1139457.8</v>
      </c>
    </row>
    <row r="120" spans="1:8" x14ac:dyDescent="0.2">
      <c r="A120" t="s">
        <v>210</v>
      </c>
      <c r="B120" s="31" t="s">
        <v>211</v>
      </c>
      <c r="C120" s="73">
        <f>('DOE25'!L205)+('DOE25'!L223)+('DOE25'!L241)</f>
        <v>2291615.58</v>
      </c>
      <c r="D120" s="23" t="s">
        <v>288</v>
      </c>
      <c r="E120" s="73">
        <f>+('DOE25'!L284)+('DOE25'!L303)+('DOE25'!L322)</f>
        <v>129374.20000000001</v>
      </c>
      <c r="F120" s="23" t="s">
        <v>288</v>
      </c>
      <c r="G120" s="23" t="s">
        <v>288</v>
      </c>
      <c r="H120" s="13">
        <f t="shared" si="7"/>
        <v>2420989.7800000003</v>
      </c>
    </row>
    <row r="121" spans="1:8" x14ac:dyDescent="0.2">
      <c r="A121" t="s">
        <v>212</v>
      </c>
      <c r="B121" s="31" t="s">
        <v>213</v>
      </c>
      <c r="C121" s="73">
        <f>('DOE25'!L206)+('DOE25'!L224)+('DOE25'!L242)</f>
        <v>2875673.99</v>
      </c>
      <c r="D121" s="23" t="s">
        <v>288</v>
      </c>
      <c r="E121" s="73">
        <f>+('DOE25'!L285)+('DOE25'!L304)+('DOE25'!L323)</f>
        <v>0</v>
      </c>
      <c r="F121" s="23" t="s">
        <v>288</v>
      </c>
      <c r="G121" s="23" t="s">
        <v>288</v>
      </c>
      <c r="H121" s="13">
        <f t="shared" si="7"/>
        <v>2875673.99</v>
      </c>
    </row>
    <row r="122" spans="1:8" x14ac:dyDescent="0.2">
      <c r="A122" t="s">
        <v>214</v>
      </c>
      <c r="B122" s="31" t="s">
        <v>215</v>
      </c>
      <c r="C122" s="73">
        <f>('DOE25'!L207)+('DOE25'!L225)+('DOE25'!L243)</f>
        <v>827665.94</v>
      </c>
      <c r="D122" s="23" t="s">
        <v>288</v>
      </c>
      <c r="E122" s="73">
        <f>+('DOE25'!L286)+('DOE25'!L305)+('DOE25'!L324)</f>
        <v>0</v>
      </c>
      <c r="F122" s="23" t="s">
        <v>288</v>
      </c>
      <c r="G122" s="23" t="s">
        <v>288</v>
      </c>
      <c r="H122" s="13">
        <f t="shared" si="7"/>
        <v>827665.94</v>
      </c>
    </row>
    <row r="123" spans="1:8" x14ac:dyDescent="0.2">
      <c r="A123" t="s">
        <v>216</v>
      </c>
      <c r="B123" s="31" t="s">
        <v>217</v>
      </c>
      <c r="C123" s="73">
        <f>('DOE25'!L208)+('DOE25'!L226)+('DOE25'!L244)</f>
        <v>5340771.3000000007</v>
      </c>
      <c r="D123" s="23" t="s">
        <v>288</v>
      </c>
      <c r="E123" s="73">
        <f>+('DOE25'!L287)+('DOE25'!L306)+('DOE25'!L325)</f>
        <v>0</v>
      </c>
      <c r="F123" s="23" t="s">
        <v>288</v>
      </c>
      <c r="G123" s="23" t="s">
        <v>288</v>
      </c>
      <c r="H123" s="13">
        <f t="shared" si="7"/>
        <v>5340771.3000000007</v>
      </c>
    </row>
    <row r="124" spans="1:8" x14ac:dyDescent="0.2">
      <c r="A124" t="s">
        <v>218</v>
      </c>
      <c r="B124" s="31" t="s">
        <v>219</v>
      </c>
      <c r="C124" s="73">
        <f>('DOE25'!L209)+('DOE25'!L227)+('DOE25'!L245+'DOE25'!L255)</f>
        <v>1500566.9100000001</v>
      </c>
      <c r="D124" s="23" t="s">
        <v>288</v>
      </c>
      <c r="E124" s="73">
        <f>+('DOE25'!L288)+('DOE25'!L307)+('DOE25'!L326)</f>
        <v>0</v>
      </c>
      <c r="F124" s="23" t="s">
        <v>288</v>
      </c>
      <c r="G124" s="23" t="s">
        <v>288</v>
      </c>
      <c r="H124" s="13">
        <f t="shared" si="7"/>
        <v>1500566.9100000001</v>
      </c>
    </row>
    <row r="125" spans="1:8" x14ac:dyDescent="0.2">
      <c r="A125" t="s">
        <v>220</v>
      </c>
      <c r="B125" s="31" t="s">
        <v>221</v>
      </c>
      <c r="C125" s="73">
        <f>('DOE25'!L210)+('DOE25'!L228)+('DOE25'!L246)</f>
        <v>1475375.21</v>
      </c>
      <c r="D125" s="23" t="s">
        <v>288</v>
      </c>
      <c r="E125" s="73">
        <f>+('DOE25'!L289)+('DOE25'!L308)+('DOE25'!L327)</f>
        <v>547729.74</v>
      </c>
      <c r="F125" s="23" t="s">
        <v>288</v>
      </c>
      <c r="G125" s="23" t="s">
        <v>288</v>
      </c>
      <c r="H125" s="13">
        <f t="shared" si="7"/>
        <v>2023104.95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1152287.6499999999</v>
      </c>
      <c r="E127" s="23" t="s">
        <v>288</v>
      </c>
      <c r="F127" s="23" t="s">
        <v>288</v>
      </c>
      <c r="G127" s="23" t="s">
        <v>288</v>
      </c>
      <c r="H127" s="13">
        <f t="shared" si="7"/>
        <v>1152287.6499999999</v>
      </c>
    </row>
    <row r="128" spans="1:8" ht="12.75" thickTop="1" thickBot="1" x14ac:dyDescent="0.25">
      <c r="A128" s="32" t="s">
        <v>226</v>
      </c>
      <c r="C128" s="68">
        <f>SUM(C118:C127)</f>
        <v>20828847.449999999</v>
      </c>
      <c r="D128" s="68">
        <f>SUM(D118:D127)</f>
        <v>1152287.6499999999</v>
      </c>
      <c r="E128" s="68">
        <f>SUM(E118:E127)</f>
        <v>1926813.98</v>
      </c>
      <c r="F128" s="68">
        <f>SUM(F118:F127)</f>
        <v>0</v>
      </c>
      <c r="G128" s="68">
        <f>SUM(G118:G127)</f>
        <v>0</v>
      </c>
      <c r="H128" s="68">
        <f t="shared" si="7"/>
        <v>23907949.079999998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7300.19</v>
      </c>
      <c r="D135" s="23" t="s">
        <v>288</v>
      </c>
      <c r="E135" s="92">
        <f>'DOE25'!L346</f>
        <v>0</v>
      </c>
      <c r="F135" s="23" t="s">
        <v>288</v>
      </c>
      <c r="G135" s="23" t="s">
        <v>288</v>
      </c>
      <c r="H135" s="13">
        <f t="shared" si="7"/>
        <v>7300.19</v>
      </c>
    </row>
    <row r="136" spans="1:8" x14ac:dyDescent="0.2">
      <c r="A136" t="s">
        <v>235</v>
      </c>
      <c r="B136" s="31" t="s">
        <v>236</v>
      </c>
      <c r="C136" s="73">
        <f>'DOE25'!L265</f>
        <v>1040515</v>
      </c>
      <c r="D136" s="23" t="s">
        <v>288</v>
      </c>
      <c r="E136" s="23" t="s">
        <v>288</v>
      </c>
      <c r="F136" s="23" t="s">
        <v>288</v>
      </c>
      <c r="G136" s="23" t="s">
        <v>288</v>
      </c>
      <c r="H136" s="13">
        <f t="shared" si="7"/>
        <v>1040515</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1047815.19</v>
      </c>
      <c r="D144" s="98">
        <f>SUM(D130:D143)</f>
        <v>0</v>
      </c>
      <c r="E144" s="98">
        <f>SUM(E130:E143)</f>
        <v>0</v>
      </c>
      <c r="F144" s="98">
        <f>SUM(F130:F143)</f>
        <v>0</v>
      </c>
      <c r="G144" s="98">
        <f>SUM(G130:G143)</f>
        <v>0</v>
      </c>
      <c r="H144" s="98">
        <f t="shared" si="7"/>
        <v>1047815.19</v>
      </c>
    </row>
    <row r="145" spans="1:9" ht="12.75" thickTop="1" thickBot="1" x14ac:dyDescent="0.25">
      <c r="A145" s="32" t="s">
        <v>244</v>
      </c>
      <c r="C145" s="68">
        <f>(C115+C128+C144)</f>
        <v>60640374.099999994</v>
      </c>
      <c r="D145" s="68">
        <f>(D115+D128+D144)</f>
        <v>1152287.6499999999</v>
      </c>
      <c r="E145" s="68">
        <f>(E115+E128+E144)</f>
        <v>7022492.3800000008</v>
      </c>
      <c r="F145" s="68">
        <f>(F115+F128+F144)</f>
        <v>0</v>
      </c>
      <c r="G145" s="68">
        <f>(G115+G128+G144)</f>
        <v>0</v>
      </c>
      <c r="H145" s="68">
        <f t="shared" si="7"/>
        <v>68815154.129999995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Portsmouth</v>
      </c>
    </row>
    <row r="3" spans="1:4" x14ac:dyDescent="0.2">
      <c r="B3" s="136" t="s">
        <v>1792</v>
      </c>
    </row>
    <row r="4" spans="1:4" x14ac:dyDescent="0.2">
      <c r="B4" t="s">
        <v>61</v>
      </c>
      <c r="C4" s="128">
        <f>IF('DOE25'!F666+'DOE25'!F671=0,0,ROUND('DOE25'!F673,0))</f>
        <v>26316</v>
      </c>
    </row>
    <row r="5" spans="1:4" x14ac:dyDescent="0.2">
      <c r="B5" t="s">
        <v>700</v>
      </c>
      <c r="C5" s="128">
        <f>IF('DOE25'!G666+'DOE25'!G671=0,0,ROUND('DOE25'!G673,0))</f>
        <v>26706</v>
      </c>
    </row>
    <row r="6" spans="1:4" x14ac:dyDescent="0.2">
      <c r="B6" t="s">
        <v>62</v>
      </c>
      <c r="C6" s="128">
        <f>IF('DOE25'!H666+'DOE25'!H671=0,0,ROUND('DOE25'!H673,0))</f>
        <v>24148</v>
      </c>
    </row>
    <row r="7" spans="1:4" x14ac:dyDescent="0.2">
      <c r="B7" t="s">
        <v>701</v>
      </c>
      <c r="C7" s="128">
        <f>IF('DOE25'!I666+'DOE25'!I671=0,0,ROUND('DOE25'!I673,0))</f>
        <v>25488</v>
      </c>
    </row>
    <row r="9" spans="1:4" x14ac:dyDescent="0.2">
      <c r="A9" s="135" t="s">
        <v>94</v>
      </c>
      <c r="B9" s="136" t="s">
        <v>1793</v>
      </c>
      <c r="C9" s="130" t="s">
        <v>720</v>
      </c>
      <c r="D9" s="130" t="s">
        <v>721</v>
      </c>
    </row>
    <row r="10" spans="1:4" x14ac:dyDescent="0.2">
      <c r="A10">
        <v>1100</v>
      </c>
      <c r="B10" t="s">
        <v>702</v>
      </c>
      <c r="C10" s="128">
        <f>ROUND('DOE25'!L198+'DOE25'!L216+'DOE25'!L234+'DOE25'!L277+'DOE25'!L296+'DOE25'!L315,0)</f>
        <v>27853941</v>
      </c>
      <c r="D10" s="131">
        <f>ROUND((C10/$C$28)*100,1)</f>
        <v>41.5</v>
      </c>
    </row>
    <row r="11" spans="1:4" x14ac:dyDescent="0.2">
      <c r="A11">
        <v>1200</v>
      </c>
      <c r="B11" t="s">
        <v>703</v>
      </c>
      <c r="C11" s="128">
        <f>ROUND('DOE25'!L199+'DOE25'!L217+'DOE25'!L235+'DOE25'!L278+'DOE25'!L297+'DOE25'!L316,0)</f>
        <v>12839841</v>
      </c>
      <c r="D11" s="131">
        <f>ROUND((C11/$C$28)*100,1)</f>
        <v>19.100000000000001</v>
      </c>
    </row>
    <row r="12" spans="1:4" x14ac:dyDescent="0.2">
      <c r="A12">
        <v>1300</v>
      </c>
      <c r="B12" t="s">
        <v>704</v>
      </c>
      <c r="C12" s="128">
        <f>ROUND('DOE25'!L200+'DOE25'!L218+'DOE25'!L236+'DOE25'!L279+'DOE25'!L298+'DOE25'!L317,0)</f>
        <v>1939794</v>
      </c>
      <c r="D12" s="131">
        <f>ROUND((C12/$C$28)*100,1)</f>
        <v>2.9</v>
      </c>
    </row>
    <row r="13" spans="1:4" x14ac:dyDescent="0.2">
      <c r="A13">
        <v>1400</v>
      </c>
      <c r="B13" t="s">
        <v>705</v>
      </c>
      <c r="C13" s="128">
        <f>ROUND('DOE25'!L201+'DOE25'!L219+'DOE25'!L237+'DOE25'!L280+'DOE25'!L299+'DOE25'!L318,0)</f>
        <v>1225813</v>
      </c>
      <c r="D13" s="131">
        <f>ROUND((C13/$C$28)*100,1)</f>
        <v>1.8</v>
      </c>
    </row>
    <row r="14" spans="1:4" x14ac:dyDescent="0.2">
      <c r="D14" s="131"/>
    </row>
    <row r="15" spans="1:4" x14ac:dyDescent="0.2">
      <c r="A15">
        <v>2100</v>
      </c>
      <c r="B15" t="s">
        <v>706</v>
      </c>
      <c r="C15" s="128">
        <f>ROUND('DOE25'!L203+'DOE25'!L221+'DOE25'!L239+'DOE25'!L282+'DOE25'!L301+'DOE25'!L320,0)</f>
        <v>6627431</v>
      </c>
      <c r="D15" s="131">
        <f t="shared" ref="D15:D27" si="0">ROUND((C15/$C$28)*100,1)</f>
        <v>9.9</v>
      </c>
    </row>
    <row r="16" spans="1:4" x14ac:dyDescent="0.2">
      <c r="A16">
        <v>2200</v>
      </c>
      <c r="B16" t="s">
        <v>707</v>
      </c>
      <c r="C16" s="128">
        <f>ROUND('DOE25'!L204+'DOE25'!L222+'DOE25'!L240+'DOE25'!L283+'DOE25'!L302+'DOE25'!L321,0)</f>
        <v>1139458</v>
      </c>
      <c r="D16" s="131">
        <f t="shared" si="0"/>
        <v>1.7</v>
      </c>
    </row>
    <row r="17" spans="1:4" x14ac:dyDescent="0.2">
      <c r="A17" s="132" t="s">
        <v>723</v>
      </c>
      <c r="B17" t="s">
        <v>738</v>
      </c>
      <c r="C17" s="128">
        <f>ROUND('DOE25'!L205+'DOE25'!L210+'DOE25'!L223+'DOE25'!L228+'DOE25'!L241+'DOE25'!L246+'DOE25'!L284+'DOE25'!L289+'DOE25'!L303+'DOE25'!L308+'DOE25'!L322+'DOE25'!L327,0)</f>
        <v>4444095</v>
      </c>
      <c r="D17" s="131">
        <f t="shared" si="0"/>
        <v>6.6</v>
      </c>
    </row>
    <row r="18" spans="1:4" x14ac:dyDescent="0.2">
      <c r="A18">
        <v>2400</v>
      </c>
      <c r="B18" t="s">
        <v>711</v>
      </c>
      <c r="C18" s="128">
        <f>ROUND('DOE25'!L206+'DOE25'!L224+'DOE25'!L242+'DOE25'!L285+'DOE25'!L304+'DOE25'!L323,0)</f>
        <v>2875674</v>
      </c>
      <c r="D18" s="131">
        <f t="shared" si="0"/>
        <v>4.3</v>
      </c>
    </row>
    <row r="19" spans="1:4" x14ac:dyDescent="0.2">
      <c r="A19">
        <v>2500</v>
      </c>
      <c r="B19" t="s">
        <v>708</v>
      </c>
      <c r="C19" s="128">
        <f>ROUND('DOE25'!L207+'DOE25'!L225+'DOE25'!L243+'DOE25'!L286+'DOE25'!L305+'DOE25'!L324,0)</f>
        <v>827666</v>
      </c>
      <c r="D19" s="131">
        <f t="shared" si="0"/>
        <v>1.2</v>
      </c>
    </row>
    <row r="20" spans="1:4" x14ac:dyDescent="0.2">
      <c r="A20">
        <v>2600</v>
      </c>
      <c r="B20" t="s">
        <v>709</v>
      </c>
      <c r="C20" s="128">
        <f>ROUND('DOE25'!L208+'DOE25'!L226+'DOE25'!L244+'DOE25'!L287+'DOE25'!L306+'DOE25'!L325,0)</f>
        <v>5340771</v>
      </c>
      <c r="D20" s="131">
        <f t="shared" si="0"/>
        <v>8</v>
      </c>
    </row>
    <row r="21" spans="1:4" x14ac:dyDescent="0.2">
      <c r="A21">
        <v>2700</v>
      </c>
      <c r="B21" t="s">
        <v>710</v>
      </c>
      <c r="C21" s="128">
        <f>ROUND('DOE25'!L209+'DOE25'!L227+'DOE25'!L245+'DOE25'!L288+'DOE25'!L307+'DOE25'!L326,0)</f>
        <v>1500567</v>
      </c>
      <c r="D21" s="131">
        <f t="shared" si="0"/>
        <v>2.2000000000000002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555796.25</v>
      </c>
      <c r="D27" s="131">
        <f t="shared" si="0"/>
        <v>0.8</v>
      </c>
    </row>
    <row r="28" spans="1:4" x14ac:dyDescent="0.2">
      <c r="B28" s="135" t="s">
        <v>719</v>
      </c>
      <c r="C28" s="129">
        <f>SUM(C10:C27)</f>
        <v>67170847.25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67170847.25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40398335</v>
      </c>
      <c r="D35" s="131">
        <f t="shared" ref="D35:D40" si="1">ROUND((C35/$C$41)*100,1)</f>
        <v>60.3</v>
      </c>
    </row>
    <row r="36" spans="1:4" x14ac:dyDescent="0.2">
      <c r="B36" s="71" t="s">
        <v>739</v>
      </c>
      <c r="C36" s="128">
        <f>SUM('DOE25'!F112:J112)-SUM('DOE25'!G97:G110)+('DOE25'!F175+'DOE25'!F176+'DOE25'!I175+'DOE25'!I176)-C35</f>
        <v>9133640.340000011</v>
      </c>
      <c r="D36" s="131">
        <f t="shared" si="1"/>
        <v>13.6</v>
      </c>
    </row>
    <row r="37" spans="1:4" x14ac:dyDescent="0.2">
      <c r="A37" s="132" t="s">
        <v>831</v>
      </c>
      <c r="B37" s="71" t="s">
        <v>728</v>
      </c>
      <c r="C37" s="128">
        <f>ROUND('DOE25'!F117+'DOE25'!F118,0)</f>
        <v>11410459</v>
      </c>
      <c r="D37" s="131">
        <f t="shared" si="1"/>
        <v>17</v>
      </c>
    </row>
    <row r="38" spans="1:4" x14ac:dyDescent="0.2">
      <c r="A38" s="132" t="s">
        <v>734</v>
      </c>
      <c r="B38" s="71" t="s">
        <v>729</v>
      </c>
      <c r="C38" s="128">
        <f>ROUND(SUM('DOE25'!F140:J140)-SUM('DOE25'!F117:F119),0)</f>
        <v>1551294</v>
      </c>
      <c r="D38" s="131">
        <f t="shared" si="1"/>
        <v>2.2999999999999998</v>
      </c>
    </row>
    <row r="39" spans="1:4" x14ac:dyDescent="0.2">
      <c r="A39">
        <v>4000</v>
      </c>
      <c r="B39" s="71" t="s">
        <v>730</v>
      </c>
      <c r="C39" s="128">
        <f>ROUND('DOE25'!F170+'DOE25'!G170+'DOE25'!H170+'DOE25'!I170,0)</f>
        <v>4533329</v>
      </c>
      <c r="D39" s="131">
        <f t="shared" si="1"/>
        <v>6.8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67027057.340000011</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Portsmouth</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170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60</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78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184</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217</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239</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f>IF('School Level Expenditures'!$B$2='School Tables'!L63,'School Tables'!S63,"")</f>
        <v>60</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f>IF('School Level Expenditures'!$B$2='School Tables'!W81,'School Tables'!AD81,"")</f>
        <v>78</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f>IF('School Level Expenditures'!$B$2=A173,'School Tables'!H173,"")</f>
        <v>170</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f>IF('School Level Expenditures'!$B$2=A187,'School Tables'!H187,"")</f>
        <v>184</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f>IF('School Level Expenditures'!$B$2=A220,'School Tables'!H220,"")</f>
        <v>217</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f>IF('School Level Expenditures'!$B$2=A242,'School Tables'!H242,"")</f>
        <v>239</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2024-10-16T12:31:39Z</cp:lastPrinted>
  <dcterms:created xsi:type="dcterms:W3CDTF">1997-12-04T19:04:30Z</dcterms:created>
  <dcterms:modified xsi:type="dcterms:W3CDTF">2025-01-14T17:29:34Z</dcterms:modified>
</cp:coreProperties>
</file>