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CEFF35F-17F4-4B71-A2FA-E4BD6D898408}"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95" i="1" l="1"/>
  <c r="I595" i="1"/>
  <c r="J596" i="1"/>
  <c r="I596" i="1"/>
  <c r="F120" i="1"/>
  <c r="F50" i="1" l="1"/>
  <c r="F13" i="1"/>
  <c r="H110" i="1"/>
  <c r="H155" i="1"/>
  <c r="K40" i="14" l="1"/>
  <c r="C11" i="12"/>
  <c r="E13" i="17"/>
  <c r="E9" i="17"/>
  <c r="H470" i="1"/>
  <c r="H102" i="1"/>
  <c r="F473" i="1" l="1"/>
  <c r="J470" i="1" l="1"/>
  <c r="J473" i="1"/>
  <c r="K322" i="1"/>
  <c r="H320" i="1"/>
  <c r="G320" i="1"/>
  <c r="F320" i="1"/>
  <c r="I306" i="1"/>
  <c r="K303" i="1"/>
  <c r="H301" i="1"/>
  <c r="G301" i="1"/>
  <c r="F301" i="1"/>
  <c r="K241" i="1"/>
  <c r="K223" i="1"/>
  <c r="F241" i="1"/>
  <c r="F223" i="1"/>
  <c r="G235" i="1"/>
  <c r="G216" i="1"/>
  <c r="F234" i="1"/>
  <c r="F216" i="1"/>
  <c r="H245" i="1"/>
  <c r="H159" i="1"/>
  <c r="H162" i="1"/>
  <c r="H154" i="1"/>
  <c r="H150" i="1"/>
  <c r="G13" i="1"/>
  <c r="G30" i="1"/>
  <c r="F24"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F99" i="15" s="1"/>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E125" i="2" s="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H79" i="2" s="1"/>
  <c r="D79" i="2"/>
  <c r="E79" i="2"/>
  <c r="C80" i="2"/>
  <c r="E80" i="2"/>
  <c r="C85" i="2"/>
  <c r="C87" i="2"/>
  <c r="E87" i="2"/>
  <c r="H87" i="2" s="1"/>
  <c r="F87" i="2"/>
  <c r="C89" i="2"/>
  <c r="D89" i="2"/>
  <c r="E89" i="2"/>
  <c r="F89" i="2"/>
  <c r="C90" i="2"/>
  <c r="H90" i="2" s="1"/>
  <c r="C93" i="2"/>
  <c r="F93" i="2"/>
  <c r="C94" i="2"/>
  <c r="H94" i="2" s="1"/>
  <c r="F94" i="2"/>
  <c r="D96" i="2"/>
  <c r="E96" i="2"/>
  <c r="F96" i="2"/>
  <c r="G96" i="2"/>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E111" i="2"/>
  <c r="E112"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2" i="1"/>
  <c r="H653" i="1"/>
  <c r="G654" i="1"/>
  <c r="H654" i="1"/>
  <c r="H655" i="1"/>
  <c r="H656" i="1"/>
  <c r="G409" i="1" l="1"/>
  <c r="H646" i="1" s="1"/>
  <c r="H97" i="2"/>
  <c r="H93" i="2"/>
  <c r="H26" i="2"/>
  <c r="H22" i="2"/>
  <c r="H13" i="2"/>
  <c r="H140" i="1"/>
  <c r="E13" i="13"/>
  <c r="C13" i="13" s="1"/>
  <c r="H69" i="2"/>
  <c r="H30" i="2"/>
  <c r="H28" i="2"/>
  <c r="H25" i="2"/>
  <c r="H17" i="2"/>
  <c r="H58" i="2"/>
  <c r="H102" i="2"/>
  <c r="H100" i="2"/>
  <c r="H98" i="2"/>
  <c r="H73" i="2"/>
  <c r="H15" i="2"/>
  <c r="E120" i="2"/>
  <c r="H47" i="2"/>
  <c r="F85" i="2"/>
  <c r="H96" i="2"/>
  <c r="H80" i="2"/>
  <c r="J140" i="1"/>
  <c r="K2" i="14"/>
  <c r="K3" i="14" s="1"/>
  <c r="D18" i="13"/>
  <c r="C18" i="13" s="1"/>
  <c r="D144" i="2"/>
  <c r="G646" i="1"/>
  <c r="H89" i="2"/>
  <c r="H34" i="2"/>
  <c r="H9" i="2"/>
  <c r="H132" i="2"/>
  <c r="H36" i="2"/>
  <c r="H44" i="2"/>
  <c r="H48" i="2"/>
  <c r="H35" i="2"/>
  <c r="I409" i="1"/>
  <c r="H27" i="2"/>
  <c r="H24" i="2"/>
  <c r="H8" i="2"/>
  <c r="H113" i="2"/>
  <c r="J112" i="1"/>
  <c r="J652" i="1"/>
  <c r="H477" i="1"/>
  <c r="H625" i="1" s="1"/>
  <c r="G477" i="1"/>
  <c r="D29" i="13"/>
  <c r="C29" i="13" s="1"/>
  <c r="G662" i="1"/>
  <c r="G62" i="2"/>
  <c r="H59" i="2"/>
  <c r="C32" i="10"/>
  <c r="C125" i="2"/>
  <c r="H125" i="2" s="1"/>
  <c r="C119" i="2"/>
  <c r="C13" i="10"/>
  <c r="K36" i="14"/>
  <c r="K37" i="14" s="1"/>
  <c r="G663" i="1"/>
  <c r="D15" i="13"/>
  <c r="C15" i="13" s="1"/>
  <c r="C120" i="2"/>
  <c r="C112" i="2"/>
  <c r="H112" i="2" s="1"/>
  <c r="C12" i="10"/>
  <c r="H61" i="2"/>
  <c r="D78" i="2"/>
  <c r="H77" i="2"/>
  <c r="H29" i="2"/>
  <c r="H23" i="2"/>
  <c r="H11"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L572" i="1" l="1"/>
  <c r="H120" i="2"/>
  <c r="H57" i="2"/>
  <c r="H134" i="2"/>
  <c r="D51" i="2"/>
  <c r="H103" i="2"/>
  <c r="H78" i="2"/>
  <c r="H85" i="2"/>
  <c r="H62" i="2"/>
  <c r="I662" i="1"/>
  <c r="H21" i="2"/>
  <c r="H16" i="2"/>
  <c r="D128" i="2"/>
  <c r="D145" i="2" s="1"/>
  <c r="H127" i="2"/>
  <c r="G50" i="2"/>
  <c r="H50" i="2" s="1"/>
  <c r="H42" i="2"/>
  <c r="H18" i="2"/>
  <c r="I663" i="1"/>
  <c r="H91" i="2"/>
  <c r="F194" i="1"/>
  <c r="G628" i="1" s="1"/>
  <c r="J628" i="1" s="1"/>
  <c r="C81" i="2"/>
  <c r="H81" i="2" s="1"/>
  <c r="E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<sst xmlns="http://schemas.openxmlformats.org/spreadsheetml/2006/main" count="6657" uniqueCount="1845">
  <si>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</si>
  <si>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</si>
  <si>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</si>
  <si>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</si>
  <si>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</si>
  <si>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</si>
  <si>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</si>
  <si>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</si>
  <si>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</si>
  <si>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</si>
  <si>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</si>
  <si>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</si>
  <si>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</si>
  <si>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</si>
  <si>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</si>
  <si>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</si>
  <si>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</si>
  <si>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</si>
  <si>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</si>
  <si>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</si>
  <si>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</si>
  <si>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</si>
  <si>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</si>
  <si>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</si>
  <si>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</si>
  <si>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</si>
  <si>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</si>
  <si>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</si>
  <si>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</si>
  <si>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</si>
  <si>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</si>
  <si>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</si>
  <si>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</si>
  <si>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</si>
  <si>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</si>
  <si>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</si>
  <si>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</si>
  <si>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</si>
  <si>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</si>
  <si>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</si>
  <si>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</si>
  <si>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</si>
  <si>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</si>
  <si>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</si>
  <si>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</si>
  <si>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</si>
  <si>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</si>
  <si>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</si>
  <si>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</si>
  <si>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</si>
  <si>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</si>
  <si>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</si>
  <si>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</si>
  <si>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</si>
  <si>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</si>
  <si>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</si>
  <si>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</si>
  <si>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</si>
  <si>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</si>
  <si>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</si>
  <si>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</si>
  <si>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</si>
  <si>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</si>
  <si>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</si>
  <si>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</si>
  <si>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</si>
  <si>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</si>
  <si>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</si>
  <si>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</si>
  <si>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</si>
  <si>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</si>
  <si>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</si>
  <si>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</si>
  <si>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</si>
  <si>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</si>
  <si>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</si>
  <si>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</si>
  <si>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</si>
  <si>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</si>
  <si>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</si>
  <si>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</si>
  <si>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</si>
  <si>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</si>
  <si>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</si>
  <si>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</si>
  <si>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</si>
  <si>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</si>
  <si>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</si>
  <si>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</si>
  <si>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</si>
  <si>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</si>
  <si>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</si>
  <si>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</si>
  <si>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</si>
  <si>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</si>
  <si>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</si>
  <si>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</si>
  <si>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</si>
  <si>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</si>
  <si>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</si>
  <si>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</si>
  <si>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</si>
  <si>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</si>
  <si>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</si>
  <si>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</si>
  <si>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</si>
  <si>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</si>
  <si>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</si>
  <si>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</si>
  <si>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</si>
  <si>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</si>
  <si>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</si>
  <si>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</si>
  <si>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</si>
  <si>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</si>
  <si>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</si>
  <si>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</si>
  <si>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</si>
  <si>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</si>
  <si>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</si>
  <si>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</si>
  <si>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</si>
  <si>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</si>
  <si>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</si>
  <si>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</si>
  <si>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</si>
  <si>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</si>
  <si>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</si>
  <si>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</si>
  <si>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</si>
  <si>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</si>
  <si>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</si>
  <si>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</si>
  <si>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</si>
  <si>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</si>
  <si>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</si>
  <si>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</si>
  <si>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</si>
  <si>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</si>
  <si>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</si>
  <si>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</si>
  <si>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</si>
  <si>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</si>
  <si>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</si>
  <si>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</si>
  <si>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</si>
  <si>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</si>
  <si>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</si>
  <si>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</si>
  <si>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</si>
  <si>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</si>
  <si>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</si>
  <si>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</si>
  <si>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</si>
  <si>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</si>
  <si>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</si>
  <si>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</si>
  <si>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</si>
  <si>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</si>
  <si>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</si>
  <si>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</si>
  <si>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</si>
  <si>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</si>
  <si>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</si>
  <si>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</si>
  <si>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</si>
  <si>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</si>
  <si>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</si>
  <si>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</si>
  <si>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</si>
  <si>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</si>
  <si>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</si>
  <si>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</si>
  <si>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</si>
  <si>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</si>
  <si>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</si>
  <si>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</si>
  <si>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</si>
  <si>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</si>
  <si>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</si>
  <si>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</si>
  <si>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</si>
  <si>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</si>
  <si>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</si>
  <si>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</si>
  <si>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</si>
  <si>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</si>
  <si>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</si>
  <si>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</si>
  <si>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</si>
  <si>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</si>
  <si>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</si>
  <si>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</si>
  <si>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</si>
  <si>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</si>
  <si>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</si>
  <si>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</si>
  <si>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</si>
  <si>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</si>
  <si>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</si>
  <si>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</si>
  <si>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</si>
  <si>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</si>
  <si>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</si>
  <si>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</si>
  <si>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</si>
  <si>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</si>
  <si>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</si>
  <si>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</si>
  <si>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</si>
  <si>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</si>
  <si>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</si>
  <si>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</si>
  <si>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</si>
  <si>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</si>
  <si>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</si>
  <si>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</si>
  <si>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</si>
  <si>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</si>
  <si>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</si>
  <si>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</si>
  <si>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</si>
  <si>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</si>
  <si>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</si>
  <si>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</si>
  <si>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</si>
  <si>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</si>
  <si>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</si>
  <si>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</si>
  <si>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</si>
  <si>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</si>
  <si>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</si>
  <si>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</si>
  <si>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</si>
  <si>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</si>
  <si>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</si>
  <si>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</si>
  <si>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</si>
  <si>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</si>
  <si>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</si>
  <si>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</si>
  <si>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</si>
  <si>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</si>
  <si>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</si>
  <si>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</si>
  <si>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</si>
  <si>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</si>
  <si>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</si>
  <si>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</si>
  <si>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</si>
  <si>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</si>
  <si>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</si>
  <si>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</si>
  <si>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</si>
  <si>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</si>
  <si>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</si>
  <si>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</si>
  <si>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</si>
  <si>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</si>
  <si>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</si>
  <si>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</si>
  <si>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</si>
  <si>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</si>
  <si>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</si>
  <si>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</si>
  <si>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</si>
  <si>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</si>
  <si>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</si>
  <si>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</si>
  <si>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</si>
  <si>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</si>
  <si>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</si>
  <si>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</si>
  <si>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</si>
  <si>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</si>
  <si>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</si>
  <si>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</si>
  <si>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</si>
  <si>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</si>
  <si>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</si>
  <si>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</si>
  <si>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</si>
  <si>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</si>
  <si>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</si>
  <si>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</si>
  <si>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</si>
  <si>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</si>
  <si>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</si>
  <si>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</si>
  <si>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</si>
  <si>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</si>
  <si>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</si>
  <si>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</si>
  <si>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</si>
  <si>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</si>
  <si>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</si>
  <si>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</si>
  <si>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</si>
  <si>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</si>
  <si>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</si>
  <si>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</si>
  <si>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</si>
  <si>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</si>
  <si>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</si>
  <si>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</si>
  <si>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</si>
  <si>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</si>
  <si>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</si>
  <si>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</si>
  <si>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</si>
  <si>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</si>
  <si>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</si>
  <si>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</si>
  <si>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</si>
  <si>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</si>
  <si>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</si>
  <si>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</si>
  <si>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</si>
  <si>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</si>
  <si>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</si>
  <si>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</si>
  <si>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</si>
  <si>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</si>
  <si>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</si>
  <si>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</si>
  <si>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</si>
  <si>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</si>
  <si>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</si>
  <si>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</si>
  <si>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</si>
  <si>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</si>
  <si>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</si>
  <si>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</si>
  <si>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</si>
  <si>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</si>
  <si>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</si>
  <si>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</si>
  <si>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</si>
  <si>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</si>
  <si>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</si>
  <si>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</si>
  <si>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</si>
  <si>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</si>
  <si>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</si>
  <si>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</si>
  <si>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</si>
  <si>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</si>
  <si>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</si>
  <si>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</si>
  <si>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</si>
  <si>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</si>
  <si>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</si>
  <si>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</si>
  <si>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</si>
  <si>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</si>
  <si>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</si>
  <si>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</si>
  <si>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</si>
  <si>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</si>
  <si>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</si>
  <si>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</si>
  <si>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</si>
  <si>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</si>
  <si>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</si>
  <si>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</si>
  <si>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</si>
  <si>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</si>
  <si>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</si>
  <si>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</si>
  <si>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</si>
  <si>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</si>
  <si>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</si>
  <si>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</si>
  <si>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</si>
  <si>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</si>
  <si>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</si>
  <si>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</si>
  <si>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</si>
  <si>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</si>
  <si>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</si>
  <si>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</si>
  <si>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</si>
  <si>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</si>
  <si>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</si>
  <si>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</si>
  <si>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</si>
  <si>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</si>
  <si>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</si>
  <si>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</si>
  <si>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</si>
  <si>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</si>
  <si>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</si>
  <si>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</si>
  <si>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</si>
  <si>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</si>
  <si>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</si>
  <si>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</si>
  <si>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</si>
  <si>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</si>
  <si>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</si>
  <si>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</si>
  <si>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</si>
  <si>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</si>
  <si>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</si>
  <si>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</si>
  <si>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</si>
  <si>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</si>
  <si>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</si>
  <si>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</si>
  <si>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</si>
  <si>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</si>
  <si>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</si>
  <si>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</si>
  <si>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</si>
  <si>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</si>
  <si>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</si>
  <si>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</si>
  <si>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</si>
  <si>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</si>
  <si>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</si>
  <si>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</si>
  <si>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</si>
  <si>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</si>
  <si>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</si>
  <si>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</si>
  <si>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</si>
  <si>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</si>
  <si>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</si>
  <si>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</si>
  <si>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</si>
  <si>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</si>
  <si>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</si>
  <si>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</si>
  <si>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</si>
  <si>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</si>
  <si>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</si>
  <si>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</si>
  <si>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</si>
  <si>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</si>
  <si>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</si>
  <si>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</si>
  <si>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</si>
  <si>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</si>
  <si>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</si>
  <si>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</si>
  <si>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</si>
  <si>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</si>
  <si>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</si>
  <si>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</si>
  <si>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</si>
  <si>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</si>
  <si>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</si>
  <si>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</si>
  <si>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</si>
  <si>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</si>
  <si>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</si>
  <si>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</si>
  <si>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</si>
  <si>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</si>
  <si>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</si>
  <si>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</si>
  <si>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</si>
  <si>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</si>
  <si>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</si>
  <si>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</si>
  <si>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</si>
  <si>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</si>
  <si>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</si>
  <si>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</si>
  <si>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</si>
  <si>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</si>
  <si>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</si>
  <si>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</si>
  <si>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</si>
  <si>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</si>
  <si>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</si>
  <si>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</si>
  <si>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</si>
  <si>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</si>
  <si>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</si>
  <si>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</si>
  <si>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</si>
  <si>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</si>
  <si>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</si>
  <si>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</si>
  <si>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</si>
  <si>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</si>
  <si>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</si>
  <si>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</si>
  <si>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</si>
  <si>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</si>
  <si>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</si>
  <si>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</si>
  <si>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</si>
  <si>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</si>
  <si>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</si>
  <si>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</si>
  <si>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</si>
  <si>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</si>
  <si>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</si>
  <si>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</si>
  <si>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</si>
  <si>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</si>
  <si>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</si>
  <si>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</si>
  <si>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</si>
  <si>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</si>
  <si>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</si>
  <si>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</si>
  <si>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</si>
  <si>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</si>
  <si>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</si>
  <si>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</si>
  <si>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</si>
  <si>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</si>
  <si>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</si>
  <si>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</si>
  <si>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</si>
  <si>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</si>
  <si>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</si>
  <si>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</si>
  <si>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</si>
  <si>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</si>
  <si>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</si>
  <si>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</si>
  <si>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</si>
  <si>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</si>
  <si>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</si>
  <si>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</si>
  <si>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</si>
  <si>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</si>
  <si>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</si>
  <si>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</si>
  <si>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</si>
  <si>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</si>
  <si>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</si>
  <si>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</si>
  <si>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</si>
  <si>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</si>
  <si>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</si>
  <si>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</si>
  <si>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</si>
  <si>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</si>
  <si>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</si>
  <si>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</si>
  <si>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</si>
  <si>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</si>
  <si>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</si>
  <si>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</si>
  <si>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</si>
  <si>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</si>
  <si>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</si>
  <si>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</si>
  <si>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</si>
  <si>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</si>
  <si>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</si>
  <si>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</si>
  <si>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</si>
  <si>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</si>
  <si>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</si>
  <si>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</si>
  <si>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</si>
  <si>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</si>
  <si>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</si>
  <si>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</si>
  <si>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</si>
  <si>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</si>
  <si>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</si>
  <si>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</si>
  <si>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</si>
  <si>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</si>
  <si>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</si>
  <si>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</si>
  <si>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</si>
  <si>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</si>
  <si>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</si>
  <si>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</si>
  <si>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</si>
  <si>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</si>
  <si>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</si>
  <si>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</si>
  <si>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</si>
  <si>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</si>
  <si>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</si>
  <si>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</si>
  <si>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</si>
  <si>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</si>
  <si>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</si>
  <si>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</si>
  <si>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</si>
  <si>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</si>
  <si>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</si>
  <si>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</si>
  <si>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</si>
  <si>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</si>
  <si>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</si>
  <si>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</si>
  <si>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</si>
  <si>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</si>
  <si>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</si>
  <si>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</si>
  <si>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</si>
  <si>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</si>
  <si>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</si>
  <si>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</si>
  <si>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</si>
  <si>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</si>
  <si>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</si>
  <si>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</si>
  <si>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</si>
  <si>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</si>
  <si>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</si>
  <si>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</si>
  <si>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</si>
  <si>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</si>
  <si>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</si>
  <si>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</si>
  <si>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</si>
  <si>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</si>
  <si>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</si>
  <si>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</si>
  <si>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</si>
  <si>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</si>
  <si>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</si>
  <si>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</si>
  <si>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</si>
  <si>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</si>
  <si>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</si>
  <si>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</si>
  <si>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</si>
  <si>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</si>
  <si>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</si>
  <si>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</si>
  <si>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</si>
  <si>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</si>
  <si>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</si>
  <si>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</si>
  <si>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</si>
  <si>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</si>
  <si>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</si>
  <si>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</si>
  <si>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</si>
  <si>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</si>
  <si>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</si>
  <si>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</si>
  <si>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</si>
  <si>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</si>
  <si>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</si>
  <si>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</si>
  <si>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</si>
  <si>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</si>
  <si>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</si>
  <si>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</si>
  <si>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</si>
  <si>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</si>
  <si>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</si>
  <si>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</si>
  <si>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</si>
  <si>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</si>
  <si>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</si>
  <si>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</si>
  <si>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</si>
  <si>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</si>
  <si>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</si>
  <si>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</si>
  <si>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</si>
  <si>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</si>
  <si>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</si>
  <si>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</si>
  <si>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</si>
  <si>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</si>
  <si>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</si>
  <si>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</si>
  <si>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</si>
  <si>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</si>
  <si>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</si>
  <si>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</si>
  <si>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</si>
  <si>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</si>
  <si>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</si>
  <si>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</si>
  <si>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</si>
  <si>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</si>
  <si>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</si>
  <si>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</si>
  <si>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</si>
  <si>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</si>
  <si>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</si>
  <si>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</si>
  <si>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</si>
  <si>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</si>
  <si>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</si>
  <si>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</si>
  <si>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</si>
  <si>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</si>
  <si>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</si>
  <si>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</si>
  <si>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</si>
  <si>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</si>
  <si>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</si>
  <si>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</si>
  <si>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</si>
  <si>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</si>
  <si>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</si>
  <si>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</si>
  <si>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</si>
  <si>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</si>
  <si>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</si>
  <si>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</si>
  <si>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</si>
  <si>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</si>
  <si>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</si>
  <si>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</si>
  <si>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</si>
  <si>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</si>
  <si>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</si>
  <si>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</si>
  <si>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</si>
  <si>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</si>
  <si>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</si>
  <si>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</si>
  <si>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</si>
  <si>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</si>
  <si>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</si>
  <si>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</si>
  <si>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</si>
  <si>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</si>
  <si>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</si>
  <si>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</si>
  <si>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</si>
  <si>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</si>
  <si>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</si>
  <si>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</si>
  <si>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</si>
  <si>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</si>
  <si>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</si>
  <si>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</si>
  <si>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</si>
  <si>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</si>
  <si>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</si>
  <si>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</si>
  <si>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</si>
  <si>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</si>
  <si>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</si>
  <si>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</si>
  <si>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</si>
  <si>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</si>
  <si>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</si>
  <si>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</si>
  <si>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</si>
  <si>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</si>
  <si>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</si>
  <si>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</si>
  <si>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</si>
  <si>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</si>
  <si>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</si>
  <si>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</si>
  <si>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</si>
  <si>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</si>
  <si>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</si>
  <si>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</si>
  <si>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</si>
  <si>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</si>
  <si>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</si>
  <si>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</si>
  <si>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</si>
  <si>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</si>
  <si>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</si>
  <si>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</si>
  <si>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</si>
  <si>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</si>
  <si>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</si>
  <si>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</si>
  <si>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</si>
  <si>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</si>
  <si>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</si>
  <si>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</si>
  <si>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</si>
  <si>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</si>
  <si>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</si>
  <si>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</si>
  <si>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</si>
  <si>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</si>
  <si>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</si>
  <si>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</si>
  <si>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</si>
  <si>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</si>
  <si>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</si>
  <si>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</si>
  <si>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</si>
  <si>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</si>
  <si>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</si>
  <si>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</si>
  <si>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</si>
  <si>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</si>
  <si>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</si>
  <si>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</si>
  <si>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</si>
  <si>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</si>
  <si>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</si>
  <si>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</si>
  <si>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</si>
  <si>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</si>
  <si>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</si>
  <si>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</si>
  <si>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</si>
  <si>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</si>
  <si>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</si>
  <si>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</si>
  <si>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</si>
  <si>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</si>
  <si>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</si>
  <si>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</si>
  <si>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</si>
  <si>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</si>
  <si>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</si>
  <si>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</si>
  <si>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</si>
  <si>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</si>
  <si>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</si>
  <si>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</si>
  <si>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</si>
  <si>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</si>
  <si>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</si>
  <si>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</si>
  <si>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</si>
  <si>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</si>
  <si>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</si>
  <si>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</si>
  <si>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</si>
  <si>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</si>
  <si>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</si>
  <si>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</si>
  <si>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</si>
  <si>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</si>
  <si>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</si>
  <si>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</si>
  <si>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</si>
  <si>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</si>
  <si>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</si>
  <si>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</si>
  <si>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</si>
  <si>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</si>
  <si>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</si>
  <si>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</si>
  <si>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</si>
  <si>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</si>
  <si>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</si>
  <si>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</si>
  <si>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</si>
  <si>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</si>
  <si>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</si>
  <si>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</si>
  <si>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</si>
  <si>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</si>
  <si>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</si>
  <si>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</si>
  <si>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</si>
  <si>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</si>
  <si>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</si>
  <si>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</si>
  <si>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</si>
  <si>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</si>
  <si>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</si>
  <si>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</si>
  <si>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</si>
  <si>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</si>
  <si>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</si>
  <si>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</si>
  <si>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</si>
  <si>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</si>
  <si>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</si>
  <si>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</si>
  <si>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</si>
  <si>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</si>
  <si>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</si>
  <si>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</si>
  <si>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</si>
  <si>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</si>
  <si>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</si>
  <si>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</si>
  <si>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</si>
  <si>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</si>
  <si>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</si>
  <si>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</si>
  <si>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</si>
  <si>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</si>
  <si>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</si>
  <si>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</si>
  <si>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</si>
  <si>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</si>
  <si>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</si>
  <si>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</si>
  <si>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</si>
  <si>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</si>
  <si>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</si>
  <si>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</si>
  <si>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</si>
  <si>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</si>
  <si>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</si>
  <si>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</si>
  <si>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</si>
  <si>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</si>
  <si>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</si>
  <si>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</si>
  <si>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</si>
  <si>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</si>
  <si>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</si>
  <si>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</si>
  <si>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</si>
  <si>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</si>
  <si>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</si>
  <si>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</si>
  <si>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</si>
  <si>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</si>
  <si>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</si>
  <si>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</si>
  <si>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</si>
  <si>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</si>
  <si>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</si>
  <si>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</si>
  <si>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</si>
  <si>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</si>
  <si>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</si>
  <si>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</si>
  <si>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</si>
  <si>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</si>
  <si>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</si>
  <si>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</si>
  <si>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</si>
  <si>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</si>
  <si>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</si>
  <si>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</si>
  <si>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</si>
  <si>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</si>
  <si>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</si>
  <si>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</si>
  <si>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</si>
  <si>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</si>
  <si>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</si>
  <si>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</si>
  <si>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</si>
  <si>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</si>
  <si>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</si>
  <si>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</si>
  <si>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</si>
  <si>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</si>
  <si>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</si>
  <si>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</si>
  <si>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</si>
  <si>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</si>
  <si>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</si>
  <si>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</si>
  <si>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</si>
  <si>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</si>
  <si>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</si>
  <si>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</si>
  <si>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</si>
  <si>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</si>
  <si>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</si>
  <si>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</si>
  <si>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</si>
  <si>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</si>
  <si>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</si>
  <si>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</si>
  <si>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</si>
  <si>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</si>
  <si>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</si>
  <si>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</si>
  <si>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</si>
  <si>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</si>
  <si>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</si>
  <si>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</si>
  <si>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</si>
  <si>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</si>
  <si>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</si>
  <si>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</si>
  <si>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</si>
  <si>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</si>
  <si>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</si>
  <si>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</si>
  <si>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</si>
  <si>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</si>
  <si>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</si>
  <si>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</si>
  <si>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</si>
  <si>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</si>
  <si>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</si>
  <si>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</si>
  <si>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</si>
  <si>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</si>
  <si>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</si>
  <si>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</si>
  <si>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</si>
  <si>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</si>
  <si>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</si>
  <si>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</si>
  <si>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</si>
  <si>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</si>
  <si>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</si>
  <si>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</si>
  <si>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</si>
  <si>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</si>
  <si>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</si>
  <si>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</si>
  <si>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</si>
  <si>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</si>
  <si>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</si>
  <si>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</si>
  <si>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</si>
  <si>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</si>
  <si>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</si>
  <si>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</si>
  <si>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</si>
  <si>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</si>
  <si>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</si>
  <si>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</si>
  <si>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</si>
  <si>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</si>
  <si>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</si>
  <si>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</si>
  <si>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</si>
  <si>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</si>
  <si>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</si>
  <si>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</si>
  <si>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</si>
  <si>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</si>
  <si>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</si>
  <si>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</si>
  <si>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</si>
  <si>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</si>
  <si>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</si>
  <si>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</si>
  <si>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</si>
  <si>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</si>
  <si>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</si>
  <si>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</si>
  <si>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</si>
  <si>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</si>
  <si>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</si>
  <si>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</si>
  <si>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</si>
  <si>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</si>
  <si>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</si>
  <si>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</si>
  <si>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</si>
  <si>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</si>
  <si>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</si>
  <si>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</si>
  <si>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</si>
  <si>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</si>
  <si>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</si>
  <si>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</si>
  <si>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</si>
  <si>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</si>
  <si>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</si>
  <si>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</si>
  <si>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</si>
  <si>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</si>
  <si>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</si>
  <si>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</si>
  <si>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</si>
  <si>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</si>
  <si>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</si>
  <si>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</si>
  <si>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</si>
  <si>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</si>
  <si>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</si>
  <si>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</si>
  <si>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</si>
  <si>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</si>
  <si>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</si>
  <si>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</si>
  <si>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</si>
  <si>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</si>
  <si>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</si>
  <si>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</si>
  <si>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</si>
  <si>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</si>
  <si>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</si>
  <si>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</si>
  <si>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</si>
  <si>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</si>
  <si>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</si>
  <si>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</si>
  <si>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</si>
  <si>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</si>
  <si>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</si>
  <si>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</si>
  <si>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</si>
  <si>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</si>
  <si>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</si>
  <si>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</si>
  <si>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</si>
  <si>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</si>
  <si>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</si>
  <si>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</si>
  <si>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</si>
  <si>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</si>
  <si>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</si>
  <si>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</si>
  <si>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</si>
  <si>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</si>
  <si>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</si>
  <si>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</si>
  <si>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</si>
  <si>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</si>
  <si>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</si>
  <si>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</si>
  <si>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</si>
  <si>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</si>
  <si>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</si>
  <si>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</si>
  <si>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</si>
  <si>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</si>
  <si>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</si>
  <si>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</si>
  <si>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</si>
  <si>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</si>
  <si>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</si>
  <si>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</si>
  <si>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</si>
  <si>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</si>
  <si>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</si>
  <si>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</si>
  <si>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</si>
  <si>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</si>
  <si>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</si>
  <si>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</si>
  <si>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</si>
  <si>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</si>
  <si>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</si>
  <si>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</si>
  <si>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</si>
  <si>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</si>
  <si>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</si>
  <si>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</si>
  <si>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</si>
  <si>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</si>
  <si>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</si>
  <si>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</si>
  <si>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</si>
  <si>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</si>
  <si>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</si>
  <si>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</si>
  <si>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</si>
  <si>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</si>
  <si>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</si>
  <si>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</si>
  <si>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</si>
  <si>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</si>
  <si>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</si>
  <si>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</si>
  <si>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</si>
  <si>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</si>
  <si>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</si>
  <si>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</si>
  <si>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</si>
  <si>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</si>
  <si>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</si>
  <si>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</si>
  <si>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</si>
  <si>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</si>
  <si>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</si>
  <si>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</si>
  <si>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</si>
  <si>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</si>
  <si>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</si>
  <si>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</si>
  <si>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</si>
  <si>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</si>
  <si>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</si>
  <si>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</si>
  <si>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</si>
  <si>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</si>
  <si>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</si>
  <si>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</si>
  <si>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</si>
  <si>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</si>
  <si>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</si>
  <si>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</si>
  <si>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</si>
  <si>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</si>
  <si>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</si>
  <si>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</si>
  <si>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</si>
  <si>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</si>
  <si>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</si>
  <si>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</si>
  <si>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</si>
  <si>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</si>
  <si>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</si>
  <si>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</si>
  <si>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</si>
  <si>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</si>
  <si>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</si>
  <si>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</si>
  <si>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</si>
  <si>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</si>
  <si>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</si>
  <si>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</si>
  <si>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</si>
  <si>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</si>
  <si>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</si>
  <si>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</si>
  <si>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</si>
  <si>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</si>
  <si>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</si>
  <si>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</si>
  <si>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</si>
  <si>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</si>
  <si>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</si>
  <si>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</si>
  <si>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</si>
  <si>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</si>
  <si>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</si>
  <si>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</si>
  <si>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</si>
  <si>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</si>
  <si>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</si>
  <si>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</si>
  <si>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</si>
  <si>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</si>
  <si>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</si>
  <si>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</si>
  <si>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</si>
  <si>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</si>
  <si>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</si>
  <si>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</si>
  <si>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</si>
  <si>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</si>
  <si>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</si>
  <si>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</si>
  <si>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</si>
  <si>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</si>
  <si>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</si>
  <si>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</si>
  <si>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</si>
  <si>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</si>
  <si>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</si>
  <si>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</si>
  <si>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</si>
  <si>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</si>
  <si>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</si>
  <si>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</si>
  <si>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</si>
  <si>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</si>
  <si>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</si>
  <si>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</si>
  <si>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</si>
  <si>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</si>
  <si>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</si>
  <si>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</si>
  <si>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</si>
  <si>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</si>
  <si>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</si>
  <si>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</si>
  <si>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</si>
  <si>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</si>
  <si>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</si>
  <si>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</si>
  <si>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</si>
  <si>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</si>
  <si>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</si>
  <si>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</si>
  <si>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</si>
  <si>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</si>
  <si>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</si>
  <si>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</si>
  <si>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</si>
  <si>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</si>
  <si>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</si>
  <si>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</si>
  <si>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</si>
  <si>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</si>
  <si>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</si>
  <si>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</si>
  <si>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</si>
  <si>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</si>
  <si>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</si>
  <si>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</si>
  <si>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</si>
  <si>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</si>
  <si>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</si>
  <si>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</si>
  <si>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</si>
  <si>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</si>
  <si>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</si>
  <si>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</si>
  <si>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</si>
  <si>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</si>
  <si>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</si>
  <si>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</si>
  <si>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</si>
  <si>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</si>
  <si>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</si>
  <si>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</si>
  <si>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</si>
  <si>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</si>
  <si>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</si>
  <si>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</si>
  <si>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</si>
  <si>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</si>
  <si>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</si>
  <si>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</si>
  <si>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</si>
  <si>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</si>
  <si>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</si>
  <si>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</si>
  <si>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</si>
  <si>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</si>
  <si>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</si>
  <si>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</si>
  <si>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</si>
  <si>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</si>
  <si>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</si>
  <si>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</si>
  <si>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</si>
  <si>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</si>
  <si>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</si>
  <si>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</si>
  <si>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</si>
  <si>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</si>
  <si>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</si>
  <si>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</si>
  <si>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</si>
  <si>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</si>
  <si>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</si>
  <si>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</si>
  <si>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</si>
  <si>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</si>
  <si>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</si>
  <si>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</si>
  <si>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</si>
  <si>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</si>
  <si>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</si>
  <si>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</si>
  <si>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</si>
  <si>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</si>
  <si>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</si>
  <si>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</si>
  <si>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</si>
  <si>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</si>
  <si>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</si>
  <si>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</si>
  <si>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</si>
  <si>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</si>
  <si>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</si>
  <si>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</si>
  <si>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</si>
  <si>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</si>
  <si>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</si>
  <si>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</si>
  <si>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</si>
  <si>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</si>
  <si>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</si>
  <si>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</si>
  <si>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</si>
  <si>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</si>
  <si>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</si>
  <si>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</si>
  <si>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</si>
  <si>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</si>
  <si>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</si>
  <si>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</si>
  <si>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</si>
  <si>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</si>
  <si>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</si>
  <si>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</si>
  <si>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</si>
  <si>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</si>
  <si>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</si>
  <si>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</si>
  <si>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</si>
  <si>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</si>
  <si>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</si>
  <si>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</si>
  <si>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</si>
  <si>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</si>
  <si>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</si>
  <si>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</si>
  <si>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</si>
  <si>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</si>
  <si>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</si>
  <si>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</si>
  <si>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</si>
  <si>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</si>
  <si>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</si>
  <si>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</si>
  <si>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</si>
  <si>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</si>
  <si>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</si>
  <si>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</si>
  <si>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</si>
  <si>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</si>
  <si>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</si>
  <si>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</si>
  <si>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</si>
  <si>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</si>
  <si>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</si>
  <si>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</si>
  <si>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</si>
  <si>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</si>
  <si>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</si>
  <si>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</si>
  <si>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</si>
  <si>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</si>
  <si>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</si>
  <si>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</si>
  <si>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</si>
  <si>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</si>
  <si>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</si>
  <si>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</si>
  <si>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</si>
  <si>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</si>
  <si>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</si>
  <si>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</si>
  <si>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</si>
  <si>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</si>
  <si>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</si>
  <si>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</si>
  <si>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</si>
  <si>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</si>
  <si>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</si>
  <si>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</si>
  <si>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</si>
  <si>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</si>
  <si>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</si>
  <si>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</si>
  <si>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</si>
  <si>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</si>
  <si>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</si>
  <si>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</si>
  <si>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</si>
  <si>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</si>
  <si>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</si>
  <si>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</si>
  <si>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</si>
  <si>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</si>
  <si>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</si>
  <si>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</si>
  <si>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</si>
  <si>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</si>
  <si>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</si>
  <si>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</si>
  <si>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</si>
  <si>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</si>
  <si>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</si>
  <si>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</si>
  <si>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</si>
  <si>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</si>
  <si>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</si>
  <si>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</si>
  <si>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</si>
  <si>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</si>
  <si>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</si>
  <si>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</si>
  <si>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</si>
  <si>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</si>
  <si>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</si>
  <si>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</si>
  <si>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</si>
  <si>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</si>
  <si>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</si>
  <si>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</si>
  <si>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</si>
  <si>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</si>
  <si>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</si>
  <si>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</si>
  <si>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</si>
  <si>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</si>
  <si>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</si>
  <si>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</si>
  <si>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</si>
  <si>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</si>
  <si>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</si>
  <si>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</si>
  <si>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</si>
  <si>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</si>
  <si>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</si>
  <si>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</si>
  <si>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</si>
  <si>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</si>
  <si>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</si>
  <si>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</si>
  <si>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</si>
  <si>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</si>
  <si>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</si>
  <si>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</si>
  <si>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</si>
  <si>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</si>
  <si>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</si>
  <si>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</si>
  <si>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</si>
  <si>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</si>
  <si>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</si>
  <si>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</si>
  <si>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</si>
  <si>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</si>
  <si>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</si>
  <si>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</si>
  <si>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</si>
  <si>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</si>
  <si>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</si>
  <si>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</si>
  <si>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</si>
  <si>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</si>
  <si>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</si>
  <si>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</si>
  <si>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</si>
  <si>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</si>
  <si>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</si>
  <si>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</si>
  <si>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</si>
  <si>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</si>
  <si>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</si>
  <si>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</si>
  <si>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</si>
  <si>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</si>
  <si>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</si>
  <si>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</si>
  <si>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</si>
  <si>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</si>
  <si>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</si>
  <si>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</si>
  <si>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</si>
  <si>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</si>
  <si>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</si>
  <si>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</si>
  <si>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</si>
  <si>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</si>
  <si>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</si>
  <si>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</si>
  <si>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</si>
  <si>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</si>
  <si>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</si>
  <si>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</si>
  <si>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</si>
  <si>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</si>
  <si>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</si>
  <si>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</si>
  <si>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</si>
  <si>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</si>
  <si>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</si>
  <si>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</si>
  <si>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</si>
  <si>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</si>
  <si>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</si>
  <si>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</si>
  <si>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</si>
  <si>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</si>
  <si>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</si>
  <si>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</si>
  <si>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</si>
  <si>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</si>
  <si>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</si>
  <si>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</si>
  <si>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</si>
  <si>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</si>
  <si>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</si>
  <si>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</si>
  <si>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</si>
  <si>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</si>
  <si>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</si>
  <si>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</si>
  <si>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</si>
  <si>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</si>
  <si>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</si>
  <si>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</si>
  <si>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</si>
  <si>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</si>
  <si>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</si>
  <si>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</si>
  <si>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</si>
  <si>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</si>
  <si>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</si>
  <si>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</si>
  <si>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</si>
  <si>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</si>
  <si>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</si>
  <si>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</si>
  <si>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</si>
  <si>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</si>
  <si>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</si>
  <si>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</si>
  <si>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</si>
  <si>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</si>
  <si>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</si>
  <si>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</si>
  <si>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</si>
  <si>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</si>
  <si>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</si>
  <si>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</si>
  <si>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</si>
  <si>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</si>
  <si>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</si>
  <si>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</si>
  <si>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</si>
  <si>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</si>
  <si>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</si>
  <si>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</si>
  <si>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</si>
  <si>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</si>
  <si>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</si>
  <si>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</si>
  <si>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</si>
  <si>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</si>
  <si>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</si>
  <si>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</si>
  <si>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</si>
  <si>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</si>
  <si>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</si>
  <si>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</si>
  <si>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</si>
  <si>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</si>
  <si>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</si>
  <si>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</si>
  <si>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</si>
  <si>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</si>
  <si>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</si>
  <si>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</si>
  <si>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</si>
  <si>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</si>
  <si>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</si>
  <si>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</si>
  <si>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</si>
  <si>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</si>
  <si>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</si>
  <si>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</si>
  <si>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</si>
  <si>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</si>
  <si>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</si>
  <si>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</si>
  <si>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</si>
  <si>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</si>
  <si>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</si>
  <si>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</si>
  <si>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</si>
  <si>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</si>
  <si>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</si>
  <si>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</si>
  <si>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</si>
  <si>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</si>
  <si>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</si>
  <si>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</si>
  <si>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</si>
  <si>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</si>
  <si>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</si>
  <si>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</si>
  <si>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</si>
  <si>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</si>
  <si>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</si>
  <si>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</si>
  <si>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</si>
  <si>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</si>
  <si>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</si>
  <si>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</si>
  <si>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</si>
  <si>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</si>
  <si>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</si>
  <si>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</si>
  <si>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</si>
  <si>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</si>
  <si>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</si>
  <si>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</si>
  <si>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</si>
  <si>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</si>
  <si>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</si>
  <si>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</si>
  <si>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</si>
  <si>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</si>
  <si>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</si>
  <si>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</si>
  <si>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</si>
  <si>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</si>
  <si>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</si>
  <si>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</si>
  <si>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</si>
  <si>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</si>
  <si>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</si>
  <si>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</si>
  <si>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</si>
  <si>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</si>
  <si>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</si>
  <si>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</si>
  <si>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</si>
  <si>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</si>
  <si>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</si>
  <si>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</si>
  <si>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</si>
  <si>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</si>
  <si>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</si>
  <si>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</si>
  <si>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</si>
  <si>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</si>
  <si>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</si>
  <si>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</si>
  <si>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</si>
  <si>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</si>
  <si>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</si>
  <si>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</si>
  <si>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</si>
  <si>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</si>
  <si>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</si>
  <si>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</si>
  <si>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</si>
  <si>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</si>
  <si>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</si>
  <si>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</si>
  <si>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</si>
  <si>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</si>
  <si>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</si>
  <si>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</si>
  <si>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</si>
  <si>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</si>
  <si>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</si>
  <si>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</si>
  <si>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</si>
  <si>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</si>
  <si>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</si>
  <si>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</si>
  <si>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</si>
  <si>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</si>
  <si>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</si>
  <si>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</si>
  <si>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</si>
  <si>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</si>
  <si>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</si>
  <si>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</si>
  <si>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</si>
  <si>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</si>
  <si>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</si>
  <si>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</si>
  <si>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</si>
  <si>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</si>
  <si>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</si>
  <si>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</si>
  <si>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</si>
  <si>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</si>
  <si>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</si>
  <si>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</si>
  <si>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</si>
  <si>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</si>
  <si>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</si>
  <si>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</si>
  <si>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</si>
  <si>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</si>
  <si>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</si>
  <si>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</si>
  <si>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</si>
  <si>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</si>
  <si>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</si>
  <si>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</si>
  <si>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</si>
  <si>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</si>
  <si>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</si>
  <si>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</si>
  <si>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</si>
  <si>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</si>
  <si>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</si>
  <si>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</si>
  <si>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</si>
  <si>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</si>
  <si>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</si>
  <si>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</si>
  <si>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</si>
  <si>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</si>
  <si>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</si>
  <si>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</si>
  <si>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</si>
  <si>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</si>
  <si>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</si>
  <si>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</si>
  <si>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</si>
  <si>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</si>
  <si>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</si>
  <si>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</si>
  <si>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</si>
  <si>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</si>
  <si>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</si>
  <si>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</si>
  <si>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</si>
  <si>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</si>
  <si>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</si>
  <si>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</si>
  <si>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</si>
  <si>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</si>
  <si>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</si>
  <si>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</si>
  <si>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</si>
  <si>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</si>
  <si>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</si>
  <si>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</si>
  <si>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</si>
  <si>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</si>
  <si>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</si>
  <si>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</si>
  <si>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</si>
  <si>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</si>
  <si>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</si>
  <si>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</si>
  <si>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</si>
  <si>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</si>
  <si>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</si>
  <si>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</si>
  <si>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</si>
  <si>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</si>
  <si>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</si>
  <si>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</si>
  <si>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</si>
  <si>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</si>
  <si>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</si>
  <si>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</si>
  <si>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</si>
  <si>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</si>
  <si>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</si>
  <si>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</si>
  <si>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</si>
  <si>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</si>
  <si>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</si>
  <si>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</si>
  <si>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</si>
  <si>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</si>
  <si>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</si>
  <si>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</si>
  <si>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</si>
  <si>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</si>
  <si>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</si>
  <si>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</si>
  <si>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</si>
  <si>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</si>
  <si>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</si>
  <si>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</si>
  <si>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</si>
  <si>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</si>
  <si>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</si>
  <si>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</si>
  <si>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</si>
  <si>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</si>
  <si>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</si>
  <si>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</si>
  <si>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Market value as shown on Report from the Trustees</t>
  </si>
  <si>
    <t>Including fund that was not included in prior year</t>
  </si>
  <si>
    <t>There were no SPED transportation costs in 23-24</t>
  </si>
  <si>
    <t>The student graduated that had these significant expenses in the past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</si>
</sst>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1354</v>
      </c>
      <c r="B2">
        <f>INDEX('School Tables'!$AH$3:$AH$213,MATCH('DOE25'!A2,'School Tables'!$AJ$3:$AJ$213,0))</f>
        <v>450</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315720.09000000003</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488238.98</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14453.38</v>
      </c>
      <c r="G12" s="18">
        <v>16955.919999999998</v>
      </c>
      <c r="H12" s="18" t="s">
        <v>286</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1909.35+12877.5+22344.99</f>
        <v>37131.840000000004</v>
      </c>
      <c r="G13" s="18">
        <f>43.65+5184.89</f>
        <v>5228.54</v>
      </c>
      <c r="H13" s="18">
        <v>78075.13</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9384.5</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t="s">
        <v>286</v>
      </c>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-1201.3599999999999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366103.95000000007</v>
      </c>
      <c r="G19" s="38">
        <f>SUM(G9:G18)</f>
        <v>31568.959999999999</v>
      </c>
      <c r="H19" s="38">
        <f>SUM(H9:H18)</f>
        <v>78075.13</v>
      </c>
      <c r="I19" s="38">
        <f>SUM(I9:I18)</f>
        <v>0</v>
      </c>
      <c r="J19" s="38">
        <f>SUM(J9:J18)</f>
        <v>488238.98</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t="s">
        <v>286</v>
      </c>
      <c r="G22" s="18"/>
      <c r="H22" s="18">
        <v>31410.21</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38818.519999999997</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-1332.43</f>
        <v>-1332.43</v>
      </c>
      <c r="G24" s="18">
        <v>17138.36</v>
      </c>
      <c r="H24" s="18">
        <v>2085.71</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t="s">
        <v>286</v>
      </c>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f>2941.07+11489.53</f>
        <v>14430.6</v>
      </c>
      <c r="H30" s="18">
        <v>5299.83</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37486.089999999997</v>
      </c>
      <c r="G32" s="38">
        <f>SUM(G22:G31)</f>
        <v>31568.959999999999</v>
      </c>
      <c r="H32" s="38">
        <f>SUM(H22:H31)</f>
        <v>38795.75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v>39279.379999999997</v>
      </c>
      <c r="I43" s="18"/>
      <c r="J43" s="13">
        <f>SUM(I457)</f>
        <v>488238.98</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91989.79</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t="s">
        <v>286</v>
      </c>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306272.87-91989.79+22344.99</f>
        <v>236628.07</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328617.86</v>
      </c>
      <c r="G51" s="38">
        <f>SUM(G35:G50)</f>
        <v>0</v>
      </c>
      <c r="H51" s="38">
        <f>SUM(H35:H50)</f>
        <v>39279.379999999997</v>
      </c>
      <c r="I51" s="38">
        <f>SUM(I35:I50)</f>
        <v>0</v>
      </c>
      <c r="J51" s="38">
        <f>SUM(J35:J50)</f>
        <v>488238.98</v>
      </c>
      <c r="K51" s="42" t="s">
        <v>288</v>
      </c>
      <c r="L51" s="42" t="s">
        <v>288</v>
      </c>
      <c r="N51" s="130"/>
    </row>
    <row r="52" spans="1:14" s="3" customFormat="1" ht="12.2" customHeight="1" thickTop="1" x14ac:dyDescent="0.15">
      <c r="A52" s="35" t="s">
        <v>455</v>
      </c>
      <c r="B52" s="36" t="s">
        <v>289</v>
      </c>
      <c r="C52" s="6">
        <v>37</v>
      </c>
      <c r="D52" s="36" t="s">
        <v>653</v>
      </c>
      <c r="E52" s="36"/>
      <c r="F52" s="38">
        <f>F51+F32</f>
        <v>366103.94999999995</v>
      </c>
      <c r="G52" s="38">
        <f>G51+G32</f>
        <v>31568.959999999999</v>
      </c>
      <c r="H52" s="38">
        <f>H51+H32</f>
        <v>78075.13</v>
      </c>
      <c r="I52" s="38">
        <f>I51+I32</f>
        <v>0</v>
      </c>
      <c r="J52" s="38">
        <f>J51+J32</f>
        <v>488238.98</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4620444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4620444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17170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158900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176070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347.5</v>
      </c>
      <c r="G96" s="18"/>
      <c r="H96" s="18"/>
      <c r="I96" s="18"/>
      <c r="J96" s="18">
        <v>12995.2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79571.89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f>1261.59+2342.94+1272.9+472.66</f>
        <v>5350.09</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3579.95</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5487.3</v>
      </c>
      <c r="G110" s="18"/>
      <c r="H110" s="18">
        <f>50000+51947.64+19.99+5119.96+2104.33</f>
        <v>109191.92000000001</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9414.75</v>
      </c>
      <c r="G111" s="38">
        <f>SUM(G96:G110)</f>
        <v>79571.89</v>
      </c>
      <c r="H111" s="38">
        <f>SUM(H96:H110)</f>
        <v>114542.01000000001</v>
      </c>
      <c r="I111" s="38">
        <f>SUM(I96:I110)</f>
        <v>0</v>
      </c>
      <c r="J111" s="38">
        <f>SUM(J96:J110)</f>
        <v>12995.2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4805928.75</v>
      </c>
      <c r="G112" s="38">
        <f>G60+G111</f>
        <v>79571.89</v>
      </c>
      <c r="H112" s="38">
        <f>H60+H79+H94+H111</f>
        <v>114542.01000000001</v>
      </c>
      <c r="I112" s="38">
        <f>I60+I111</f>
        <v>0</v>
      </c>
      <c r="J112" s="38">
        <f>J60+J111</f>
        <v>12995.2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561463.43999999994</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835233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1199.65+1270.9</f>
        <v>2470.5500000000002</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1399166.99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366886.36</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t="s">
        <v>286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t="s">
        <v>286</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1647</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1215.44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368533.36</v>
      </c>
      <c r="G136" s="38">
        <f>SUM(G123:G135)</f>
        <v>1215.44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1767700.35</v>
      </c>
      <c r="G140" s="38">
        <f>G121+SUM(G136:G137)</f>
        <v>1215.44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f>3140+9810</f>
        <v>12950</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65590.4</f>
        <v>65590.399999999994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8515.64+1200.86+6392.37</f>
        <v>16108.869999999999</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28862.34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13203.55+58456.41+10419.61</f>
        <v>82079.570000000007</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62577.08+104579.81</f>
        <v>167156.89000000001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28862.34</v>
      </c>
      <c r="H163" s="38">
        <f>SUM(H150:H162)</f>
        <v>343885.73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520.87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520.87</v>
      </c>
      <c r="G170" s="38">
        <f>G147+G163+SUM(G164:G169)</f>
        <v>28862.34</v>
      </c>
      <c r="H170" s="38">
        <f>H147+H163+SUM(H164:H169)</f>
        <v>343885.73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24869.22</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24869.22</v>
      </c>
      <c r="H184" s="38">
        <f>SUM(H180:H183)</f>
        <v>0</v>
      </c>
      <c r="I184" s="38">
        <f>SUM(I180:I183)</f>
        <v>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24869.22</v>
      </c>
      <c r="H193" s="38">
        <f>+H184+SUM(H189:H192)</f>
        <v>0</v>
      </c>
      <c r="I193" s="38">
        <f>I178+I184+SUM(I189:I192)</f>
        <v>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6574149.9699999997</v>
      </c>
      <c r="G194" s="38">
        <f>G112+G140+G170+G193</f>
        <v>134518.89000000001</v>
      </c>
      <c r="H194" s="38">
        <f>H112+H140+H170+H193</f>
        <v>458427.74</v>
      </c>
      <c r="I194" s="38">
        <f>I112+I140+I170+I193</f>
        <v>0</v>
      </c>
      <c r="J194" s="38">
        <f>J112+J140+J193</f>
        <v>12995.2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508671.8+2012.5</f>
        <v>510684.3</v>
      </c>
      <c r="G216" s="18">
        <f>247226.17+503.66</f>
        <v>247729.83000000002</v>
      </c>
      <c r="H216" s="18">
        <v>472.4</v>
      </c>
      <c r="I216" s="18">
        <v>10647.02</v>
      </c>
      <c r="J216" s="18">
        <v>1697.46</v>
      </c>
      <c r="K216" s="18"/>
      <c r="L216" s="13">
        <f>SUM(F216:K216)</f>
        <v>771231.01</v>
      </c>
      <c r="M216" s="8"/>
      <c r="N216" s="164"/>
    </row>
    <row r="217" spans="1:14" s="3" customFormat="1" ht="12.2" customHeight="1" x14ac:dyDescent="0.15">
      <c r="A217" s="1" t="s">
        <v>439</v>
      </c>
      <c r="B217" s="2" t="s">
        <v>346</v>
      </c>
      <c r="C217" s="2" t="s">
        <v>291</v>
      </c>
      <c r="D217" s="2" t="s">
        <v>431</v>
      </c>
      <c r="E217" s="6">
        <v>1200</v>
      </c>
      <c r="F217" s="18">
        <v>80358.39</v>
      </c>
      <c r="G217" s="18">
        <v>41922.43</v>
      </c>
      <c r="H217" s="18">
        <v>1913.98</v>
      </c>
      <c r="I217" s="18">
        <v>2384.21</v>
      </c>
      <c r="J217" s="18"/>
      <c r="K217" s="18"/>
      <c r="L217" s="13">
        <f>SUM(F217:K217)</f>
        <v>126579.01000000001</v>
      </c>
      <c r="M217" s="8"/>
      <c r="N217" s="164"/>
    </row>
    <row r="218" spans="1:14" s="3" customFormat="1" ht="12.2" customHeight="1" x14ac:dyDescent="0.15">
      <c r="A218" s="1" t="s">
        <v>440</v>
      </c>
      <c r="B218" s="2" t="s">
        <v>346</v>
      </c>
      <c r="C218" s="2" t="s">
        <v>292</v>
      </c>
      <c r="D218" s="2" t="s">
        <v>431</v>
      </c>
      <c r="E218" s="6">
        <v>1300</v>
      </c>
      <c r="F218" s="18">
        <v>51109.11</v>
      </c>
      <c r="G218" s="18">
        <v>19802</v>
      </c>
      <c r="H218" s="18"/>
      <c r="I218" s="18">
        <v>2659.4</v>
      </c>
      <c r="J218" s="18">
        <v>524.4</v>
      </c>
      <c r="K218" s="18"/>
      <c r="L218" s="13">
        <f>SUM(F218:K218)</f>
        <v>74094.909999999989</v>
      </c>
      <c r="M218" s="8"/>
      <c r="N218" s="164"/>
    </row>
    <row r="219" spans="1:14" s="3" customFormat="1" ht="12.2" customHeight="1" x14ac:dyDescent="0.15">
      <c r="A219" s="1" t="s">
        <v>441</v>
      </c>
      <c r="B219" s="2" t="s">
        <v>346</v>
      </c>
      <c r="C219" s="2" t="s">
        <v>293</v>
      </c>
      <c r="D219" s="2" t="s">
        <v>431</v>
      </c>
      <c r="E219" s="6">
        <v>1400</v>
      </c>
      <c r="F219" s="18">
        <v>31451.78</v>
      </c>
      <c r="G219" s="18">
        <v>9803.48</v>
      </c>
      <c r="H219" s="18">
        <v>9052.84</v>
      </c>
      <c r="I219" s="18">
        <v>3123.92</v>
      </c>
      <c r="J219" s="18">
        <v>3075.6</v>
      </c>
      <c r="K219" s="18">
        <v>2558.91</v>
      </c>
      <c r="L219" s="13">
        <f>SUM(F219:K219)</f>
        <v>59066.529999999984</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72667.16</v>
      </c>
      <c r="G221" s="18">
        <v>49425.5</v>
      </c>
      <c r="H221" s="18">
        <v>25725.74</v>
      </c>
      <c r="I221" s="18">
        <v>444.57</v>
      </c>
      <c r="J221" s="18" t="s">
        <v>286</v>
      </c>
      <c r="K221" s="18"/>
      <c r="L221" s="13">
        <f t="shared" ref="L221:L227" si="2">SUM(F221:K221)</f>
        <v>148262.97</v>
      </c>
      <c r="M221" s="8"/>
      <c r="N221" s="164"/>
    </row>
    <row r="222" spans="1:14" s="3" customFormat="1" ht="12.2" customHeight="1" x14ac:dyDescent="0.15">
      <c r="A222" s="1" t="s">
        <v>443</v>
      </c>
      <c r="B222" s="2" t="s">
        <v>346</v>
      </c>
      <c r="C222" s="2" t="s">
        <v>295</v>
      </c>
      <c r="D222" s="2" t="s">
        <v>431</v>
      </c>
      <c r="E222" s="6">
        <v>2200</v>
      </c>
      <c r="F222" s="18">
        <v>48200.36</v>
      </c>
      <c r="G222" s="18">
        <v>34012.01</v>
      </c>
      <c r="H222" s="18">
        <v>2868.9</v>
      </c>
      <c r="I222" s="18"/>
      <c r="J222" s="18"/>
      <c r="K222" s="18">
        <v>9865.16</v>
      </c>
      <c r="L222" s="13">
        <f t="shared" si="2"/>
        <v>94946.43</v>
      </c>
      <c r="M222" s="8"/>
      <c r="N222" s="164"/>
    </row>
    <row r="223" spans="1:14" s="3" customFormat="1" ht="12.2" customHeight="1" x14ac:dyDescent="0.15">
      <c r="A223" s="1" t="s">
        <v>444</v>
      </c>
      <c r="B223" s="2" t="s">
        <v>346</v>
      </c>
      <c r="C223" s="2" t="s">
        <v>296</v>
      </c>
      <c r="D223" s="2" t="s">
        <v>431</v>
      </c>
      <c r="E223" s="6">
        <v>2300</v>
      </c>
      <c r="F223" s="18">
        <f>143509.84+3095.75</f>
        <v>146605.59</v>
      </c>
      <c r="G223" s="18">
        <v>229.53</v>
      </c>
      <c r="H223" s="18">
        <v>390.25</v>
      </c>
      <c r="I223" s="18"/>
      <c r="J223" s="18"/>
      <c r="K223" s="18">
        <f>4470.5+49.95</f>
        <v>4520.45</v>
      </c>
      <c r="L223" s="13">
        <f t="shared" si="2"/>
        <v>151745.82</v>
      </c>
      <c r="M223" s="8"/>
      <c r="N223" s="164"/>
    </row>
    <row r="224" spans="1:14" s="3" customFormat="1" ht="12.2" customHeight="1" x14ac:dyDescent="0.15">
      <c r="A224" s="1" t="s">
        <v>445</v>
      </c>
      <c r="B224" s="2" t="s">
        <v>346</v>
      </c>
      <c r="C224" s="2" t="s">
        <v>297</v>
      </c>
      <c r="D224" s="2" t="s">
        <v>431</v>
      </c>
      <c r="E224" s="6">
        <v>2400</v>
      </c>
      <c r="F224" s="18">
        <v>107782.68</v>
      </c>
      <c r="G224" s="18">
        <v>49175.93</v>
      </c>
      <c r="H224" s="18">
        <v>22098.28</v>
      </c>
      <c r="I224" s="18">
        <v>3667.95</v>
      </c>
      <c r="J224" s="18"/>
      <c r="K224" s="18"/>
      <c r="L224" s="13">
        <f t="shared" si="2"/>
        <v>182724.84</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v>46146.12</v>
      </c>
      <c r="G226" s="18">
        <v>13136.14</v>
      </c>
      <c r="H226" s="18">
        <v>68446.53</v>
      </c>
      <c r="I226" s="18">
        <v>52718.63</v>
      </c>
      <c r="J226" s="18">
        <v>4009.71</v>
      </c>
      <c r="K226" s="18"/>
      <c r="L226" s="13">
        <f t="shared" si="2"/>
        <v>184457.13</v>
      </c>
      <c r="M226" s="8"/>
      <c r="N226" s="164"/>
    </row>
    <row r="227" spans="1:14" s="3" customFormat="1" ht="12.2" customHeight="1" x14ac:dyDescent="0.15">
      <c r="A227" s="1" t="s">
        <v>448</v>
      </c>
      <c r="B227" s="2" t="s">
        <v>346</v>
      </c>
      <c r="C227" s="2" t="s">
        <v>300</v>
      </c>
      <c r="D227" s="2" t="s">
        <v>431</v>
      </c>
      <c r="E227" s="6">
        <v>2700</v>
      </c>
      <c r="F227" s="18">
        <v>996.17</v>
      </c>
      <c r="G227" s="18">
        <v>193.58</v>
      </c>
      <c r="H227" s="18">
        <v>37679.35</v>
      </c>
      <c r="I227" s="18">
        <v>1635.57</v>
      </c>
      <c r="J227" s="18"/>
      <c r="K227" s="18"/>
      <c r="L227" s="13">
        <f t="shared" si="2"/>
        <v>40504.67</v>
      </c>
      <c r="M227" s="8"/>
      <c r="N227" s="164"/>
    </row>
    <row r="228" spans="1:14" s="3" customFormat="1" ht="12.2" customHeight="1" x14ac:dyDescent="0.15">
      <c r="A228" s="1" t="s">
        <v>449</v>
      </c>
      <c r="B228" s="2" t="s">
        <v>346</v>
      </c>
      <c r="C228" s="2" t="s">
        <v>343</v>
      </c>
      <c r="D228" s="2" t="s">
        <v>431</v>
      </c>
      <c r="E228" s="6">
        <v>2800</v>
      </c>
      <c r="F228" s="18"/>
      <c r="G228" s="18"/>
      <c r="H228" s="18">
        <v>182.86</v>
      </c>
      <c r="I228" s="18">
        <v>2242.75</v>
      </c>
      <c r="J228" s="18">
        <v>15824.05</v>
      </c>
      <c r="K228" s="18"/>
      <c r="L228" s="13">
        <f>SUM(F228:K228)</f>
        <v>18249.66</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1096001.6599999999</v>
      </c>
      <c r="G230" s="38">
        <f>SUM(G216:G229)</f>
        <v>465430.43000000005</v>
      </c>
      <c r="H230" s="38">
        <f>SUM(H216:H229)</f>
        <v>168831.13</v>
      </c>
      <c r="I230" s="38">
        <f>SUM(I216:I229)</f>
        <v>79524.02</v>
      </c>
      <c r="J230" s="38">
        <f>SUM(J216:J229)</f>
        <v>25131.22</v>
      </c>
      <c r="K230" s="38">
        <f t="shared" si="3"/>
        <v>16944.52</v>
      </c>
      <c r="L230" s="38">
        <f t="shared" si="3"/>
        <v>1851862.9800000002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1017429.59+3737.5</f>
        <v>1021167.09</v>
      </c>
      <c r="G234" s="18">
        <v>563848.39</v>
      </c>
      <c r="H234" s="18">
        <v>7494.1</v>
      </c>
      <c r="I234" s="18">
        <v>17873.86</v>
      </c>
      <c r="J234" s="18">
        <v>3586.79</v>
      </c>
      <c r="K234" s="18"/>
      <c r="L234" s="13">
        <f>SUM(F234:K234)</f>
        <v>1613970.2300000002</v>
      </c>
      <c r="M234" s="8"/>
      <c r="N234" s="164"/>
    </row>
    <row r="235" spans="1:14" s="3" customFormat="1" ht="12.2" customHeight="1" x14ac:dyDescent="0.15">
      <c r="A235" s="1" t="s">
        <v>439</v>
      </c>
      <c r="B235" s="2" t="s">
        <v>350</v>
      </c>
      <c r="C235" s="2" t="s">
        <v>291</v>
      </c>
      <c r="D235" s="2" t="s">
        <v>431</v>
      </c>
      <c r="E235" s="6">
        <v>1200</v>
      </c>
      <c r="F235" s="18">
        <v>182107.95</v>
      </c>
      <c r="G235" s="18">
        <f>122417.5+935.36</f>
        <v>123352.86</v>
      </c>
      <c r="H235" s="18">
        <v>161615.4</v>
      </c>
      <c r="I235" s="18">
        <v>5725.09</v>
      </c>
      <c r="J235" s="18"/>
      <c r="K235" s="18"/>
      <c r="L235" s="13">
        <f>SUM(F235:K235)</f>
        <v>472801.3</v>
      </c>
      <c r="M235" s="8"/>
      <c r="N235" s="164"/>
    </row>
    <row r="236" spans="1:14" s="3" customFormat="1" ht="12.2" customHeight="1" x14ac:dyDescent="0.15">
      <c r="A236" s="1" t="s">
        <v>440</v>
      </c>
      <c r="B236" s="2" t="s">
        <v>350</v>
      </c>
      <c r="C236" s="2" t="s">
        <v>292</v>
      </c>
      <c r="D236" s="2" t="s">
        <v>431</v>
      </c>
      <c r="E236" s="6">
        <v>1300</v>
      </c>
      <c r="F236" s="18">
        <v>94916.82</v>
      </c>
      <c r="G236" s="18">
        <v>36777.1</v>
      </c>
      <c r="H236" s="18">
        <v>30257.06</v>
      </c>
      <c r="I236" s="18">
        <v>5463.38</v>
      </c>
      <c r="J236" s="18">
        <v>815.89</v>
      </c>
      <c r="K236" s="18"/>
      <c r="L236" s="13">
        <f>SUM(F236:K236)</f>
        <v>168230.25000000003</v>
      </c>
      <c r="M236" s="8"/>
      <c r="N236" s="164"/>
    </row>
    <row r="237" spans="1:14" s="3" customFormat="1" ht="12.2" customHeight="1" x14ac:dyDescent="0.15">
      <c r="A237" s="1" t="s">
        <v>441</v>
      </c>
      <c r="B237" s="2" t="s">
        <v>350</v>
      </c>
      <c r="C237" s="2" t="s">
        <v>293</v>
      </c>
      <c r="D237" s="2" t="s">
        <v>431</v>
      </c>
      <c r="E237" s="6">
        <v>1400</v>
      </c>
      <c r="F237" s="18">
        <v>96910.97</v>
      </c>
      <c r="G237" s="18">
        <v>16794.09</v>
      </c>
      <c r="H237" s="18">
        <v>15898.38</v>
      </c>
      <c r="I237" s="18">
        <v>5932.45</v>
      </c>
      <c r="J237" s="18">
        <v>5557.67</v>
      </c>
      <c r="K237" s="18">
        <v>7404.41</v>
      </c>
      <c r="L237" s="13">
        <f>SUM(F237:K237)</f>
        <v>148497.97000000003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111214.56</v>
      </c>
      <c r="G239" s="18">
        <v>75114.28</v>
      </c>
      <c r="H239" s="18">
        <v>55500.62</v>
      </c>
      <c r="I239" s="18">
        <v>1197.2</v>
      </c>
      <c r="J239" s="18"/>
      <c r="K239" s="18"/>
      <c r="L239" s="13">
        <f t="shared" ref="L239:L245" si="4">SUM(F239:K239)</f>
        <v>243026.66</v>
      </c>
      <c r="M239" s="8"/>
      <c r="N239" s="164"/>
    </row>
    <row r="240" spans="1:14" s="3" customFormat="1" ht="12.2" customHeight="1" x14ac:dyDescent="0.15">
      <c r="A240" s="1" t="s">
        <v>443</v>
      </c>
      <c r="B240" s="2" t="s">
        <v>350</v>
      </c>
      <c r="C240" s="2" t="s">
        <v>295</v>
      </c>
      <c r="D240" s="2" t="s">
        <v>431</v>
      </c>
      <c r="E240" s="6">
        <v>2200</v>
      </c>
      <c r="F240" s="18">
        <v>89514.74</v>
      </c>
      <c r="G240" s="18">
        <v>63169.22</v>
      </c>
      <c r="H240" s="18">
        <v>5333.82</v>
      </c>
      <c r="I240" s="18"/>
      <c r="J240" s="18"/>
      <c r="K240" s="18">
        <v>12048.11</v>
      </c>
      <c r="L240" s="13">
        <f t="shared" si="4"/>
        <v>170065.89</v>
      </c>
      <c r="M240" s="8"/>
      <c r="N240" s="164"/>
    </row>
    <row r="241" spans="1:14" s="3" customFormat="1" ht="12.2" customHeight="1" x14ac:dyDescent="0.15">
      <c r="A241" s="1" t="s">
        <v>444</v>
      </c>
      <c r="B241" s="2" t="s">
        <v>350</v>
      </c>
      <c r="C241" s="2" t="s">
        <v>296</v>
      </c>
      <c r="D241" s="2" t="s">
        <v>431</v>
      </c>
      <c r="E241" s="6">
        <v>2300</v>
      </c>
      <c r="F241" s="18">
        <f>266518.25+5749.25</f>
        <v>272267.5</v>
      </c>
      <c r="G241" s="18">
        <v>426.28</v>
      </c>
      <c r="H241" s="18">
        <v>724.75</v>
      </c>
      <c r="I241" s="18"/>
      <c r="J241" s="18"/>
      <c r="K241" s="18">
        <f>8298.32+92.76</f>
        <v>8391.08</v>
      </c>
      <c r="L241" s="13">
        <f t="shared" si="4"/>
        <v>281809.61000000004</v>
      </c>
      <c r="M241" s="8"/>
      <c r="N241" s="164"/>
    </row>
    <row r="242" spans="1:14" s="3" customFormat="1" ht="12.2" customHeight="1" x14ac:dyDescent="0.15">
      <c r="A242" s="1" t="s">
        <v>445</v>
      </c>
      <c r="B242" s="2" t="s">
        <v>350</v>
      </c>
      <c r="C242" s="2" t="s">
        <v>297</v>
      </c>
      <c r="D242" s="2" t="s">
        <v>431</v>
      </c>
      <c r="E242" s="6">
        <v>2400</v>
      </c>
      <c r="F242" s="18">
        <v>186531.85</v>
      </c>
      <c r="G242" s="18">
        <v>83963.76</v>
      </c>
      <c r="H242" s="18">
        <v>41039.53</v>
      </c>
      <c r="I242" s="18">
        <v>6811.91</v>
      </c>
      <c r="J242" s="18"/>
      <c r="K242" s="18">
        <v>8087.4</v>
      </c>
      <c r="L242" s="13">
        <f t="shared" si="4"/>
        <v>326434.45</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v>85700.01</v>
      </c>
      <c r="G244" s="18">
        <v>24408.36</v>
      </c>
      <c r="H244" s="18">
        <v>126921.01</v>
      </c>
      <c r="I244" s="18">
        <v>97838.67</v>
      </c>
      <c r="J244" s="18">
        <v>7430.87</v>
      </c>
      <c r="K244" s="18">
        <v>36.6</v>
      </c>
      <c r="L244" s="13">
        <f t="shared" si="4"/>
        <v>342335.51999999996</v>
      </c>
      <c r="M244" s="8"/>
      <c r="N244" s="164"/>
    </row>
    <row r="245" spans="1:14" s="3" customFormat="1" ht="12.2" customHeight="1" x14ac:dyDescent="0.15">
      <c r="A245" s="1" t="s">
        <v>448</v>
      </c>
      <c r="B245" s="2" t="s">
        <v>350</v>
      </c>
      <c r="C245" s="2" t="s">
        <v>300</v>
      </c>
      <c r="D245" s="2" t="s">
        <v>431</v>
      </c>
      <c r="E245" s="6">
        <v>2700</v>
      </c>
      <c r="F245" s="18">
        <v>1850.03</v>
      </c>
      <c r="G245" s="18">
        <v>359.44</v>
      </c>
      <c r="H245" s="18">
        <f>1275.83+26713.73+41986.27</f>
        <v>69975.829999999987</v>
      </c>
      <c r="I245" s="18">
        <v>3037.45</v>
      </c>
      <c r="J245" s="18"/>
      <c r="K245" s="18"/>
      <c r="L245" s="13">
        <f t="shared" si="4"/>
        <v>75222.749999999985</v>
      </c>
      <c r="M245" s="8"/>
      <c r="N245" s="164"/>
    </row>
    <row r="246" spans="1:14" s="3" customFormat="1" ht="12.2" customHeight="1" x14ac:dyDescent="0.15">
      <c r="A246" s="1" t="s">
        <v>449</v>
      </c>
      <c r="B246" s="2" t="s">
        <v>350</v>
      </c>
      <c r="C246" s="2" t="s">
        <v>343</v>
      </c>
      <c r="D246" s="2" t="s">
        <v>431</v>
      </c>
      <c r="E246" s="6">
        <v>2800</v>
      </c>
      <c r="F246" s="18"/>
      <c r="G246" s="18"/>
      <c r="H246" s="18">
        <v>339.59</v>
      </c>
      <c r="I246" s="18">
        <v>4165.1400000000003</v>
      </c>
      <c r="J246" s="18">
        <v>29387.53</v>
      </c>
      <c r="K246" s="18"/>
      <c r="L246" s="13">
        <f>SUM(F246:K246)</f>
        <v>33892.26</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2142181.52</v>
      </c>
      <c r="G248" s="38">
        <f t="shared" si="5"/>
        <v>988213.77999999991</v>
      </c>
      <c r="H248" s="38">
        <f t="shared" si="5"/>
        <v>515100.09</v>
      </c>
      <c r="I248" s="38">
        <f t="shared" si="5"/>
        <v>148045.15000000002</v>
      </c>
      <c r="J248" s="38">
        <f t="shared" si="5"/>
        <v>46778.75</v>
      </c>
      <c r="K248" s="38">
        <f t="shared" si="5"/>
        <v>35967.599999999999</v>
      </c>
      <c r="L248" s="38">
        <f t="shared" si="5"/>
        <v>3876286.8900000006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3238183.1799999997</v>
      </c>
      <c r="G258" s="38">
        <f t="shared" si="8"/>
        <v>1453644.21</v>
      </c>
      <c r="H258" s="38">
        <f t="shared" si="8"/>
        <v>683931.22</v>
      </c>
      <c r="I258" s="38">
        <f t="shared" si="8"/>
        <v>227569.17000000004</v>
      </c>
      <c r="J258" s="38">
        <f t="shared" si="8"/>
        <v>71909.97</v>
      </c>
      <c r="K258" s="38">
        <f t="shared" si="8"/>
        <v>52912.119999999995</v>
      </c>
      <c r="L258" s="38">
        <f t="shared" si="8"/>
        <v>5728149.870000001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645000</v>
      </c>
      <c r="L261" s="13">
        <f>SUM(F261:K261)</f>
        <v>645000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66006.259999999995</v>
      </c>
      <c r="L262" s="13">
        <f>SUM(F262:K262)</f>
        <v>66006.259999999995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24869.22</v>
      </c>
      <c r="L264" s="13">
        <f>SUM(F264:K264)</f>
        <v>24869.22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6628.12</v>
      </c>
      <c r="L269" s="13">
        <f t="shared" si="9"/>
        <v>6628.12</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742503.6</v>
      </c>
      <c r="L271" s="38">
        <f t="shared" si="9"/>
        <v>742503.6</v>
      </c>
      <c r="M271" s="8"/>
      <c r="N271" s="164"/>
    </row>
    <row r="272" spans="1:14" s="33" customFormat="1" ht="12.2" customHeight="1" thickTop="1" x14ac:dyDescent="0.2">
      <c r="A272" s="40" t="s">
        <v>464</v>
      </c>
      <c r="B272" s="37">
        <v>10</v>
      </c>
      <c r="C272" s="37">
        <v>18</v>
      </c>
      <c r="D272" s="36" t="s">
        <v>431</v>
      </c>
      <c r="E272" s="37"/>
      <c r="F272" s="39">
        <f t="shared" ref="F272:L272" si="11">F258+F271</f>
        <v>3238183.1799999997</v>
      </c>
      <c r="G272" s="39">
        <f t="shared" si="11"/>
        <v>1453644.21</v>
      </c>
      <c r="H272" s="39">
        <f t="shared" si="11"/>
        <v>683931.22</v>
      </c>
      <c r="I272" s="39">
        <f t="shared" si="11"/>
        <v>227569.17000000004</v>
      </c>
      <c r="J272" s="39">
        <f t="shared" si="11"/>
        <v>71909.97</v>
      </c>
      <c r="K272" s="39">
        <f t="shared" si="11"/>
        <v>795415.72</v>
      </c>
      <c r="L272" s="39">
        <f t="shared" si="11"/>
        <v>6470653.4700000007</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43868.44</v>
      </c>
      <c r="G296" s="18">
        <v>18735.810000000001</v>
      </c>
      <c r="H296" s="18"/>
      <c r="I296" s="18">
        <v>15939.11</v>
      </c>
      <c r="J296" s="18">
        <v>3040.36</v>
      </c>
      <c r="K296" s="18"/>
      <c r="L296" s="13">
        <f>SUM(F296:K296)</f>
        <v>81583.72</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9849+840</f>
        <v>10689</v>
      </c>
      <c r="G301" s="18">
        <f>2430.25+183.9</f>
        <v>2614.15</v>
      </c>
      <c r="H301" s="18">
        <f>4424.7+4532.5</f>
        <v>8957.2000000000007</v>
      </c>
      <c r="I301" s="18"/>
      <c r="J301" s="18"/>
      <c r="K301" s="18"/>
      <c r="L301" s="13">
        <f t="shared" ref="L301:L307" si="14">SUM(F301:K301)</f>
        <v>22260.35</v>
      </c>
      <c r="M301" s="8"/>
      <c r="N301" s="164"/>
    </row>
    <row r="302" spans="1:14" s="3" customFormat="1" ht="12.2" customHeight="1" x14ac:dyDescent="0.15">
      <c r="A302" s="1" t="s">
        <v>443</v>
      </c>
      <c r="B302" s="2" t="s">
        <v>358</v>
      </c>
      <c r="C302" s="2" t="s">
        <v>295</v>
      </c>
      <c r="D302" s="2" t="s">
        <v>431</v>
      </c>
      <c r="E302" s="6">
        <v>2200</v>
      </c>
      <c r="F302" s="18">
        <v>3616.5</v>
      </c>
      <c r="G302" s="18">
        <v>891.55</v>
      </c>
      <c r="H302" s="18">
        <v>-696.5</v>
      </c>
      <c r="I302" s="18">
        <v>835.39</v>
      </c>
      <c r="J302" s="18"/>
      <c r="K302" s="18"/>
      <c r="L302" s="13">
        <f t="shared" si="14"/>
        <v>4646.9400000000005</v>
      </c>
      <c r="M302" s="8"/>
      <c r="N302" s="164"/>
    </row>
    <row r="303" spans="1:14" s="3" customFormat="1" ht="12.2" customHeight="1" x14ac:dyDescent="0.15">
      <c r="A303" s="1" t="s">
        <v>444</v>
      </c>
      <c r="B303" s="2" t="s">
        <v>358</v>
      </c>
      <c r="C303" s="2" t="s">
        <v>296</v>
      </c>
      <c r="D303" s="2" t="s">
        <v>431</v>
      </c>
      <c r="E303" s="6">
        <v>2300</v>
      </c>
      <c r="F303" s="18" t="s">
        <v>355</v>
      </c>
      <c r="G303" s="18"/>
      <c r="H303" s="18"/>
      <c r="I303" s="18"/>
      <c r="J303" s="18"/>
      <c r="K303" s="18">
        <f>1810.69+1949.53</f>
        <v>3760.2200000000003</v>
      </c>
      <c r="L303" s="13">
        <f t="shared" si="14"/>
        <v>3760.2200000000003</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f>494.63+312.56</f>
        <v>807.19</v>
      </c>
      <c r="J306" s="18">
        <v>9100</v>
      </c>
      <c r="K306" s="18"/>
      <c r="L306" s="13">
        <f t="shared" si="14"/>
        <v>9907.19</v>
      </c>
      <c r="M306" s="8"/>
      <c r="N306" s="164"/>
    </row>
    <row r="307" spans="1:14" s="3" customFormat="1" ht="12.2" customHeight="1" x14ac:dyDescent="0.15">
      <c r="A307" s="1" t="s">
        <v>448</v>
      </c>
      <c r="B307" s="2" t="s">
        <v>358</v>
      </c>
      <c r="C307" s="2" t="s">
        <v>300</v>
      </c>
      <c r="D307" s="2" t="s">
        <v>431</v>
      </c>
      <c r="E307" s="6">
        <v>2700</v>
      </c>
      <c r="F307" s="18"/>
      <c r="G307" s="18"/>
      <c r="H307" s="18">
        <v>12974.85</v>
      </c>
      <c r="I307" s="18"/>
      <c r="J307" s="18"/>
      <c r="K307" s="18"/>
      <c r="L307" s="13">
        <f t="shared" si="14"/>
        <v>12974.85</v>
      </c>
      <c r="M307" s="8"/>
      <c r="N307" s="164"/>
    </row>
    <row r="308" spans="1:14" s="3" customFormat="1" ht="12.2" customHeight="1" x14ac:dyDescent="0.15">
      <c r="A308" s="1" t="s">
        <v>449</v>
      </c>
      <c r="B308" s="2" t="s">
        <v>358</v>
      </c>
      <c r="C308" s="2" t="s">
        <v>343</v>
      </c>
      <c r="D308" s="2" t="s">
        <v>431</v>
      </c>
      <c r="E308" s="6">
        <v>2800</v>
      </c>
      <c r="F308" s="18"/>
      <c r="G308" s="18"/>
      <c r="H308" s="18">
        <v>2500.5</v>
      </c>
      <c r="I308" s="18"/>
      <c r="J308" s="18"/>
      <c r="K308" s="18"/>
      <c r="L308" s="13">
        <f>SUM(F308:K308)</f>
        <v>2500.5</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58173.94</v>
      </c>
      <c r="G310" s="39">
        <f t="shared" si="15"/>
        <v>22241.510000000002</v>
      </c>
      <c r="H310" s="39">
        <f t="shared" si="15"/>
        <v>23736.050000000003</v>
      </c>
      <c r="I310" s="39">
        <f t="shared" si="15"/>
        <v>17581.689999999999</v>
      </c>
      <c r="J310" s="39">
        <f t="shared" si="15"/>
        <v>12140.36</v>
      </c>
      <c r="K310" s="39">
        <f t="shared" si="15"/>
        <v>3760.2200000000003</v>
      </c>
      <c r="L310" s="38">
        <f t="shared" si="15"/>
        <v>137633.77000000002</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c r="H315" s="18"/>
      <c r="I315" s="18">
        <v>29592.16</v>
      </c>
      <c r="J315" s="18">
        <v>5646.39</v>
      </c>
      <c r="K315" s="18"/>
      <c r="L315" s="13">
        <f>SUM(F315:K315)</f>
        <v>35238.550000000003</v>
      </c>
      <c r="M315" s="8"/>
      <c r="N315" s="164"/>
    </row>
    <row r="316" spans="1:14" s="3" customFormat="1" ht="12.2" customHeight="1" x14ac:dyDescent="0.15">
      <c r="A316" s="1" t="s">
        <v>439</v>
      </c>
      <c r="B316" s="2" t="s">
        <v>359</v>
      </c>
      <c r="C316" s="2" t="s">
        <v>291</v>
      </c>
      <c r="D316" s="2" t="s">
        <v>431</v>
      </c>
      <c r="E316" s="6">
        <v>1200</v>
      </c>
      <c r="F316" s="18">
        <v>60638</v>
      </c>
      <c r="G316" s="18">
        <v>18608.43</v>
      </c>
      <c r="H316" s="18"/>
      <c r="I316" s="18"/>
      <c r="J316" s="18"/>
      <c r="K316" s="18"/>
      <c r="L316" s="13">
        <f>SUM(F316:K316)</f>
        <v>79246.429999999993</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v>1000</v>
      </c>
      <c r="L318" s="13">
        <f>SUM(F318:K318)</f>
        <v>1000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15351+1560</f>
        <v>16911</v>
      </c>
      <c r="G320" s="18">
        <f>4155.03+341.51</f>
        <v>4496.54</v>
      </c>
      <c r="H320" s="18">
        <f>8217.3+8417.5</f>
        <v>16634.8</v>
      </c>
      <c r="I320" s="18"/>
      <c r="J320" s="18"/>
      <c r="K320" s="18"/>
      <c r="L320" s="13">
        <f t="shared" ref="L320:L326" si="16">SUM(F320:K320)</f>
        <v>38042.339999999997</v>
      </c>
      <c r="M320" s="8"/>
      <c r="N320" s="164"/>
    </row>
    <row r="321" spans="1:14" s="3" customFormat="1" ht="12.2" customHeight="1" x14ac:dyDescent="0.15">
      <c r="A321" s="1" t="s">
        <v>443</v>
      </c>
      <c r="B321" s="2" t="s">
        <v>359</v>
      </c>
      <c r="C321" s="2" t="s">
        <v>295</v>
      </c>
      <c r="D321" s="2" t="s">
        <v>431</v>
      </c>
      <c r="E321" s="6">
        <v>2200</v>
      </c>
      <c r="F321" s="18">
        <v>5161</v>
      </c>
      <c r="G321" s="18">
        <v>1288.28</v>
      </c>
      <c r="H321" s="18">
        <v>-1293.5</v>
      </c>
      <c r="I321" s="18">
        <v>1551.41</v>
      </c>
      <c r="J321" s="18"/>
      <c r="K321" s="18"/>
      <c r="L321" s="13">
        <f t="shared" si="16"/>
        <v>6707.19</v>
      </c>
      <c r="M321" s="8"/>
      <c r="N321" s="164"/>
    </row>
    <row r="322" spans="1:14" s="3" customFormat="1" ht="12.2" customHeight="1" x14ac:dyDescent="0.15">
      <c r="A322" s="1" t="s">
        <v>444</v>
      </c>
      <c r="B322" s="2" t="s">
        <v>359</v>
      </c>
      <c r="C322" s="2" t="s">
        <v>296</v>
      </c>
      <c r="D322" s="2" t="s">
        <v>431</v>
      </c>
      <c r="E322" s="6">
        <v>2300</v>
      </c>
      <c r="F322" s="18"/>
      <c r="G322" s="18"/>
      <c r="H322" s="18">
        <v>400</v>
      </c>
      <c r="I322" s="18">
        <v>1000</v>
      </c>
      <c r="J322" s="18"/>
      <c r="K322" s="18">
        <f>3362.7+3660.05</f>
        <v>7022.75</v>
      </c>
      <c r="L322" s="13">
        <f t="shared" si="16"/>
        <v>8422.75</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v>16900</v>
      </c>
      <c r="K325" s="18"/>
      <c r="L325" s="13">
        <f t="shared" si="16"/>
        <v>16900</v>
      </c>
      <c r="M325" s="8"/>
      <c r="N325" s="164"/>
    </row>
    <row r="326" spans="1:14" s="3" customFormat="1" ht="12.2" customHeight="1" x14ac:dyDescent="0.15">
      <c r="A326" s="1" t="s">
        <v>448</v>
      </c>
      <c r="B326" s="2" t="s">
        <v>359</v>
      </c>
      <c r="C326" s="2" t="s">
        <v>300</v>
      </c>
      <c r="D326" s="2" t="s">
        <v>431</v>
      </c>
      <c r="E326" s="6">
        <v>2700</v>
      </c>
      <c r="F326" s="18"/>
      <c r="G326" s="18"/>
      <c r="H326" s="18">
        <v>24096.15</v>
      </c>
      <c r="I326" s="18">
        <v>1499.05</v>
      </c>
      <c r="J326" s="18"/>
      <c r="K326" s="18"/>
      <c r="L326" s="13">
        <f t="shared" si="16"/>
        <v>25595.200000000001</v>
      </c>
      <c r="M326" s="8"/>
      <c r="N326" s="164"/>
    </row>
    <row r="327" spans="1:14" s="3" customFormat="1" ht="12.2" customHeight="1" x14ac:dyDescent="0.15">
      <c r="A327" s="1" t="s">
        <v>449</v>
      </c>
      <c r="B327" s="2" t="s">
        <v>359</v>
      </c>
      <c r="C327" s="2" t="s">
        <v>343</v>
      </c>
      <c r="D327" s="2" t="s">
        <v>431</v>
      </c>
      <c r="E327" s="6">
        <v>2800</v>
      </c>
      <c r="F327" s="18"/>
      <c r="G327" s="18"/>
      <c r="H327" s="18">
        <v>4743.78</v>
      </c>
      <c r="I327" s="18"/>
      <c r="J327" s="18"/>
      <c r="K327" s="18">
        <v>101947.64</v>
      </c>
      <c r="L327" s="13">
        <f>SUM(F327:K327)</f>
        <v>106691.42</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82710</v>
      </c>
      <c r="G329" s="39">
        <f t="shared" si="17"/>
        <v>24393.25</v>
      </c>
      <c r="H329" s="39">
        <f t="shared" si="17"/>
        <v>44581.229999999996</v>
      </c>
      <c r="I329" s="39">
        <f t="shared" si="17"/>
        <v>33642.620000000003</v>
      </c>
      <c r="J329" s="39">
        <f t="shared" si="17"/>
        <v>22546.39</v>
      </c>
      <c r="K329" s="39">
        <f t="shared" si="17"/>
        <v>109970.39</v>
      </c>
      <c r="L329" s="38">
        <f t="shared" si="17"/>
        <v>317843.88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140883.94</v>
      </c>
      <c r="G339" s="38">
        <f t="shared" si="20"/>
        <v>46634.76</v>
      </c>
      <c r="H339" s="38">
        <f t="shared" si="20"/>
        <v>68317.279999999999</v>
      </c>
      <c r="I339" s="38">
        <f t="shared" si="20"/>
        <v>51224.31</v>
      </c>
      <c r="J339" s="38">
        <f t="shared" si="20"/>
        <v>34686.75</v>
      </c>
      <c r="K339" s="38">
        <f t="shared" si="20"/>
        <v>113730.61</v>
      </c>
      <c r="L339" s="38">
        <f t="shared" si="20"/>
        <v>455477.65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140883.94</v>
      </c>
      <c r="G353" s="38">
        <f>G339</f>
        <v>46634.76</v>
      </c>
      <c r="H353" s="38">
        <f>H339</f>
        <v>68317.279999999999</v>
      </c>
      <c r="I353" s="38">
        <f>I339</f>
        <v>51224.31</v>
      </c>
      <c r="J353" s="38">
        <f>J339</f>
        <v>34686.75</v>
      </c>
      <c r="K353" s="38">
        <f>K339+K352</f>
        <v>113730.61</v>
      </c>
      <c r="L353" s="38">
        <f>L339+L352</f>
        <v>455477.65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t="s">
        <v>286</v>
      </c>
      <c r="I359" s="18" t="s">
        <v>286</v>
      </c>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v>28116.720000000001</v>
      </c>
      <c r="I360" s="18">
        <v>18964.89</v>
      </c>
      <c r="J360" s="18"/>
      <c r="K360" s="18"/>
      <c r="L360" s="13">
        <f>SUM(F360:K360)</f>
        <v>47081.61</v>
      </c>
      <c r="M360" s="8"/>
      <c r="N360" s="164"/>
    </row>
    <row r="361" spans="1:22" s="3" customFormat="1" ht="12.2" customHeight="1" x14ac:dyDescent="0.15">
      <c r="A361" s="3" t="s">
        <v>543</v>
      </c>
      <c r="B361" s="2" t="s">
        <v>366</v>
      </c>
      <c r="C361" s="6">
        <v>3</v>
      </c>
      <c r="D361" s="2" t="s">
        <v>431</v>
      </c>
      <c r="E361" s="6"/>
      <c r="F361" s="18"/>
      <c r="G361" s="18"/>
      <c r="H361" s="18">
        <v>52216.76</v>
      </c>
      <c r="I361" s="18">
        <v>35220.519999999997</v>
      </c>
      <c r="J361" s="18"/>
      <c r="K361" s="18"/>
      <c r="L361" s="13">
        <f>SUM(F361:K361)</f>
        <v>87437.28</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80333.48000000001</v>
      </c>
      <c r="I363" s="38">
        <f t="shared" si="22"/>
        <v>54185.409999999996</v>
      </c>
      <c r="J363" s="38">
        <f t="shared" si="22"/>
        <v>0</v>
      </c>
      <c r="K363" s="38">
        <f t="shared" si="22"/>
        <v>0</v>
      </c>
      <c r="L363" s="38">
        <f t="shared" si="22"/>
        <v>134518.89000000001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v>17666.740000000002</v>
      </c>
      <c r="H368" s="18">
        <v>32809.300000000003</v>
      </c>
      <c r="I368" s="13">
        <f>SUM(F368:H368)</f>
        <v>50476.040000000008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v>1298.28</v>
      </c>
      <c r="H369" s="53">
        <v>2411.09</v>
      </c>
      <c r="I369" s="13">
        <f>SUM(F369:H369)</f>
        <v>3709.37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18965.02</v>
      </c>
      <c r="H370" s="38">
        <f>SUM(H368:H369)</f>
        <v>35220.39</v>
      </c>
      <c r="I370" s="38">
        <f>SUM(I368:I369)</f>
        <v>54185.410000000011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4031.69</v>
      </c>
      <c r="I397" s="18"/>
      <c r="J397" s="23" t="s">
        <v>288</v>
      </c>
      <c r="K397" s="23" t="s">
        <v>288</v>
      </c>
      <c r="L397" s="13">
        <f t="shared" si="26"/>
        <v>4031.69</v>
      </c>
      <c r="M397" s="8"/>
      <c r="N397" s="164"/>
    </row>
    <row r="398" spans="1:14" s="3" customFormat="1" ht="12.2" customHeight="1" x14ac:dyDescent="0.15">
      <c r="A398" s="62" t="s">
        <v>515</v>
      </c>
      <c r="B398" s="2" t="s">
        <v>381</v>
      </c>
      <c r="C398" s="6">
        <v>10</v>
      </c>
      <c r="D398" s="2" t="s">
        <v>432</v>
      </c>
      <c r="E398" s="6"/>
      <c r="F398" s="18"/>
      <c r="G398" s="18"/>
      <c r="H398" s="18">
        <v>6744.8</v>
      </c>
      <c r="I398" s="18"/>
      <c r="J398" s="23" t="s">
        <v>288</v>
      </c>
      <c r="K398" s="23" t="s">
        <v>288</v>
      </c>
      <c r="L398" s="13">
        <f t="shared" si="26"/>
        <v>6744.8</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2218.71</v>
      </c>
      <c r="I400" s="18"/>
      <c r="J400" s="23" t="s">
        <v>288</v>
      </c>
      <c r="K400" s="23" t="s">
        <v>288</v>
      </c>
      <c r="L400" s="13">
        <f t="shared" si="26"/>
        <v>2218.71</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12995.2</v>
      </c>
      <c r="I402" s="38">
        <f>SUM(I396:I401)</f>
        <v>0</v>
      </c>
      <c r="J402" s="42" t="s">
        <v>288</v>
      </c>
      <c r="K402" s="42" t="s">
        <v>288</v>
      </c>
      <c r="L402" s="38">
        <f>SUM(L396:L401)</f>
        <v>12995.2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12995.2</v>
      </c>
      <c r="I409" s="38">
        <f>I394+I402+I408</f>
        <v>0</v>
      </c>
      <c r="J409" s="23" t="s">
        <v>288</v>
      </c>
      <c r="K409" s="23" t="s">
        <v>288</v>
      </c>
      <c r="L409" s="38">
        <f>L394+L402+L408</f>
        <v>12995.2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v>715.71</v>
      </c>
      <c r="I423" s="18"/>
      <c r="J423" s="18"/>
      <c r="K423" s="18"/>
      <c r="L423" s="13">
        <f t="shared" si="29"/>
        <v>715.71</v>
      </c>
      <c r="M423" s="8"/>
      <c r="N423" s="164"/>
    </row>
    <row r="424" spans="1:21" s="3" customFormat="1" ht="12.2" customHeight="1" x14ac:dyDescent="0.15">
      <c r="A424" s="62" t="s">
        <v>515</v>
      </c>
      <c r="B424" s="6">
        <v>17</v>
      </c>
      <c r="C424" s="6">
        <v>10</v>
      </c>
      <c r="D424" s="2" t="s">
        <v>432</v>
      </c>
      <c r="E424" s="6"/>
      <c r="F424" s="18"/>
      <c r="G424" s="18"/>
      <c r="H424" s="18">
        <v>1197.3599999999999</v>
      </c>
      <c r="I424" s="18"/>
      <c r="J424" s="18"/>
      <c r="K424" s="18"/>
      <c r="L424" s="13">
        <f t="shared" si="29"/>
        <v>1197.3599999999999</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v>393.87</v>
      </c>
      <c r="I426" s="18"/>
      <c r="J426" s="18"/>
      <c r="K426" s="18"/>
      <c r="L426" s="13">
        <f t="shared" si="29"/>
        <v>393.87</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2306.94</v>
      </c>
      <c r="I428" s="38">
        <f t="shared" si="30"/>
        <v>0</v>
      </c>
      <c r="J428" s="38">
        <f t="shared" si="30"/>
        <v>0</v>
      </c>
      <c r="K428" s="38">
        <f t="shared" si="30"/>
        <v>0</v>
      </c>
      <c r="L428" s="38">
        <f t="shared" si="30"/>
        <v>2306.94</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2306.94</v>
      </c>
      <c r="I435" s="38">
        <f t="shared" si="32"/>
        <v>0</v>
      </c>
      <c r="J435" s="38">
        <f t="shared" si="32"/>
        <v>0</v>
      </c>
      <c r="K435" s="38">
        <f t="shared" si="32"/>
        <v>0</v>
      </c>
      <c r="L435" s="38">
        <f t="shared" si="32"/>
        <v>2306.94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488238.98</v>
      </c>
      <c r="H441" s="18"/>
      <c r="I441" s="13">
        <f t="shared" si="33"/>
        <v>488238.98</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488238.98</v>
      </c>
      <c r="H447" s="13">
        <f>SUM(H440:H446)</f>
        <v>0</v>
      </c>
      <c r="I447" s="13">
        <f>SUM(I440:I446)</f>
        <v>488238.98</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488238.98</v>
      </c>
      <c r="H457" s="18"/>
      <c r="I457" s="13">
        <f t="shared" si="34"/>
        <v>488238.98</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488238.98</v>
      </c>
      <c r="H461" s="65">
        <f>SUM(H455:H460)</f>
        <v>0</v>
      </c>
      <c r="I461" s="65">
        <f>SUM(I455:I460)</f>
        <v>488238.98</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488238.98</v>
      </c>
      <c r="H462" s="39">
        <f>H453+H461</f>
        <v>0</v>
      </c>
      <c r="I462" s="39">
        <f>I453+I461</f>
        <v>488238.98</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226659.66</v>
      </c>
      <c r="G466" s="18">
        <v>0</v>
      </c>
      <c r="H466" s="18">
        <v>13000</v>
      </c>
      <c r="I466" s="18"/>
      <c r="J466" s="18">
        <v>454032.41</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6574149.9699999997</v>
      </c>
      <c r="G469" s="18">
        <v>134518.89000000001</v>
      </c>
      <c r="H469" s="18">
        <v>458427.74</v>
      </c>
      <c r="I469" s="18"/>
      <c r="J469" s="18">
        <v>12995.2</v>
      </c>
      <c r="K469" s="23" t="s">
        <v>288</v>
      </c>
      <c r="L469" s="23" t="s">
        <v>288</v>
      </c>
      <c r="N469" s="130"/>
    </row>
    <row r="470" spans="1:14" ht="12.2" customHeight="1" x14ac:dyDescent="0.2">
      <c r="A470" s="71" t="s">
        <v>611</v>
      </c>
      <c r="B470" s="22">
        <v>19</v>
      </c>
      <c r="C470" s="31">
        <v>3</v>
      </c>
      <c r="D470" s="2" t="s">
        <v>432</v>
      </c>
      <c r="E470" s="31"/>
      <c r="F470" s="18"/>
      <c r="G470" s="18"/>
      <c r="H470" s="18">
        <f>28679.38-5350.09</f>
        <v>23329.29</v>
      </c>
      <c r="I470" s="18"/>
      <c r="J470" s="18">
        <f>3452.68+18956.05+1109.58</f>
        <v>23518.309999999998</v>
      </c>
      <c r="K470" s="23" t="s">
        <v>288</v>
      </c>
      <c r="L470" s="23" t="s">
        <v>288</v>
      </c>
      <c r="N470" s="130"/>
    </row>
    <row r="471" spans="1:14" ht="12.2" customHeight="1" x14ac:dyDescent="0.2">
      <c r="A471" s="32" t="s">
        <v>425</v>
      </c>
      <c r="B471" s="22">
        <v>19</v>
      </c>
      <c r="C471" s="31">
        <v>4</v>
      </c>
      <c r="D471" s="2" t="s">
        <v>432</v>
      </c>
      <c r="E471" s="31"/>
      <c r="F471" s="19">
        <f>SUM(F469:F470)</f>
        <v>6574149.9699999997</v>
      </c>
      <c r="G471" s="19">
        <f>SUM(G469:G470)</f>
        <v>134518.89000000001</v>
      </c>
      <c r="H471" s="19">
        <f>SUM(H469:H470)</f>
        <v>481757.02999999997</v>
      </c>
      <c r="I471" s="19">
        <f>SUM(I469:I470)</f>
        <v>0</v>
      </c>
      <c r="J471" s="19">
        <f>SUM(J469:J470)</f>
        <v>36513.509999999995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6445784.25+24869.22</f>
        <v>6470653.4699999997</v>
      </c>
      <c r="G473" s="18">
        <v>134518.89000000001</v>
      </c>
      <c r="H473" s="18">
        <v>455477.65</v>
      </c>
      <c r="I473" s="18"/>
      <c r="J473" s="18">
        <f>1197.36+393.87+715.71</f>
        <v>2306.94</v>
      </c>
      <c r="K473" s="23" t="s">
        <v>288</v>
      </c>
      <c r="L473" s="23" t="s">
        <v>288</v>
      </c>
      <c r="N473" s="130"/>
    </row>
    <row r="474" spans="1:14" ht="12.2" customHeight="1" x14ac:dyDescent="0.2">
      <c r="A474" s="71" t="s">
        <v>613</v>
      </c>
      <c r="B474" s="22">
        <v>19</v>
      </c>
      <c r="C474" s="31">
        <v>6</v>
      </c>
      <c r="D474" s="2" t="s">
        <v>432</v>
      </c>
      <c r="E474" s="31"/>
      <c r="F474" s="18">
        <v>1538.3</v>
      </c>
      <c r="G474" s="18"/>
      <c r="H474" s="18"/>
      <c r="I474" s="18"/>
      <c r="J474" s="18" t="s">
        <v>286</v>
      </c>
      <c r="K474" s="23" t="s">
        <v>288</v>
      </c>
      <c r="L474" s="23" t="s">
        <v>288</v>
      </c>
      <c r="N474" s="130"/>
    </row>
    <row r="475" spans="1:14" ht="12.2" customHeight="1" x14ac:dyDescent="0.2">
      <c r="A475" s="32" t="s">
        <v>426</v>
      </c>
      <c r="B475" s="22">
        <v>19</v>
      </c>
      <c r="C475" s="31">
        <v>7</v>
      </c>
      <c r="D475" s="2" t="s">
        <v>432</v>
      </c>
      <c r="E475" s="31"/>
      <c r="F475" s="19">
        <f>SUM(F473:F474)</f>
        <v>6472191.7699999996</v>
      </c>
      <c r="G475" s="19">
        <f>SUM(G473:G474)</f>
        <v>134518.89000000001</v>
      </c>
      <c r="H475" s="19">
        <f>SUM(H473:H474)</f>
        <v>455477.65</v>
      </c>
      <c r="I475" s="19">
        <f>SUM(I473:I474)</f>
        <v>0</v>
      </c>
      <c r="J475" s="19">
        <f>SUM(J473:J474)</f>
        <v>2306.94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328617.86000000034</v>
      </c>
      <c r="G477" s="19">
        <f>(G466+G471)- G475</f>
        <v>0</v>
      </c>
      <c r="H477" s="19">
        <f>(H466+H471)- H475</f>
        <v>39279.379999999946</v>
      </c>
      <c r="I477" s="19">
        <f>(I466+I471)- I475</f>
        <v>0</v>
      </c>
      <c r="J477" s="19">
        <f>(J466+J471)- J475</f>
        <v>488238.98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20" t="s">
        <v>1842</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v>80358.39</v>
      </c>
      <c r="G523" s="18">
        <v>41922.43</v>
      </c>
      <c r="H523" s="18">
        <v>1913.98</v>
      </c>
      <c r="I523" s="18">
        <v>2384.21</v>
      </c>
      <c r="J523" s="18"/>
      <c r="K523" s="18"/>
      <c r="L523" s="69">
        <f>SUM(F523:K523)</f>
        <v>126579.01000000001</v>
      </c>
      <c r="N523" s="130"/>
    </row>
    <row r="524" spans="1:14" ht="12.2" customHeight="1" thickBot="1" x14ac:dyDescent="0.25">
      <c r="A524" s="21" t="s">
        <v>635</v>
      </c>
      <c r="B524" s="22">
        <v>21</v>
      </c>
      <c r="C524" s="22">
        <v>3</v>
      </c>
      <c r="D524" s="2" t="s">
        <v>432</v>
      </c>
      <c r="E524" s="22"/>
      <c r="F524" s="18">
        <v>242745.95</v>
      </c>
      <c r="G524" s="18">
        <v>141025.93</v>
      </c>
      <c r="H524" s="18">
        <v>161615.4</v>
      </c>
      <c r="I524" s="18">
        <v>5725.09</v>
      </c>
      <c r="J524" s="18"/>
      <c r="K524" s="18"/>
      <c r="L524" s="69">
        <f>SUM(F524:K524)</f>
        <v>551112.37</v>
      </c>
      <c r="N524" s="130"/>
    </row>
    <row r="525" spans="1:14" ht="12.2" customHeight="1" thickTop="1" x14ac:dyDescent="0.2">
      <c r="A525" s="97" t="s">
        <v>63</v>
      </c>
      <c r="B525" s="41">
        <v>21</v>
      </c>
      <c r="C525" s="41">
        <v>4</v>
      </c>
      <c r="D525" s="115" t="s">
        <v>432</v>
      </c>
      <c r="E525" s="41"/>
      <c r="F525" s="81">
        <f>SUM(F522:F524)</f>
        <v>323104.34000000003</v>
      </c>
      <c r="G525" s="81">
        <f t="shared" ref="G525:L525" si="36">SUM(G522:G524)</f>
        <v>182948.36</v>
      </c>
      <c r="H525" s="81">
        <f t="shared" si="36"/>
        <v>163529.38</v>
      </c>
      <c r="I525" s="81">
        <f t="shared" si="36"/>
        <v>8109.3</v>
      </c>
      <c r="J525" s="81">
        <f t="shared" si="36"/>
        <v>0</v>
      </c>
      <c r="K525" s="81">
        <f t="shared" si="36"/>
        <v>0</v>
      </c>
      <c r="L525" s="70">
        <f t="shared" si="36"/>
        <v>677691.38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v>73507.16</v>
      </c>
      <c r="G528" s="18">
        <v>49609.4</v>
      </c>
      <c r="H528" s="18">
        <v>30258.240000000002</v>
      </c>
      <c r="I528" s="18">
        <v>444.57</v>
      </c>
      <c r="J528" s="18"/>
      <c r="K528" s="18"/>
      <c r="L528" s="69">
        <f>SUM(F528:K528)</f>
        <v>153819.37</v>
      </c>
      <c r="M528" s="8"/>
      <c r="N528" s="164"/>
    </row>
    <row r="529" spans="1:14" s="3" customFormat="1" ht="12.2" customHeight="1" thickBot="1" x14ac:dyDescent="0.2">
      <c r="A529" s="21" t="s">
        <v>635</v>
      </c>
      <c r="B529" s="22">
        <v>21</v>
      </c>
      <c r="C529" s="22">
        <v>7</v>
      </c>
      <c r="D529" s="2" t="s">
        <v>432</v>
      </c>
      <c r="E529" s="22"/>
      <c r="F529" s="18">
        <v>112774.56</v>
      </c>
      <c r="G529" s="18">
        <v>75455.789999999994</v>
      </c>
      <c r="H529" s="18">
        <v>63918.12</v>
      </c>
      <c r="I529" s="18">
        <v>1197.2</v>
      </c>
      <c r="J529" s="18"/>
      <c r="K529" s="18"/>
      <c r="L529" s="69">
        <f>SUM(F529:K529)</f>
        <v>253345.66999999998</v>
      </c>
      <c r="M529" s="8"/>
      <c r="N529" s="164"/>
    </row>
    <row r="530" spans="1:14" s="3" customFormat="1" ht="12.2" customHeight="1" thickTop="1" x14ac:dyDescent="0.15">
      <c r="A530" s="97" t="s">
        <v>65</v>
      </c>
      <c r="B530" s="41">
        <v>21</v>
      </c>
      <c r="C530" s="41">
        <v>8</v>
      </c>
      <c r="D530" s="115" t="s">
        <v>432</v>
      </c>
      <c r="E530" s="41"/>
      <c r="F530" s="70">
        <f>SUM(F527:F529)</f>
        <v>186281.72</v>
      </c>
      <c r="G530" s="70">
        <f t="shared" ref="G530:L530" si="37">SUM(G527:G529)</f>
        <v>125065.19</v>
      </c>
      <c r="H530" s="70">
        <f t="shared" si="37"/>
        <v>94176.36</v>
      </c>
      <c r="I530" s="70">
        <f t="shared" si="37"/>
        <v>1641.77</v>
      </c>
      <c r="J530" s="70">
        <f t="shared" si="37"/>
        <v>0</v>
      </c>
      <c r="K530" s="70">
        <f t="shared" si="37"/>
        <v>0</v>
      </c>
      <c r="L530" s="70">
        <f t="shared" si="37"/>
        <v>407165.04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509386.06000000006</v>
      </c>
      <c r="G546" s="70">
        <f t="shared" ref="G546:L546" si="41">G525+G530+G535+G540+G545</f>
        <v>308013.55</v>
      </c>
      <c r="H546" s="70">
        <f t="shared" si="41"/>
        <v>257705.74</v>
      </c>
      <c r="I546" s="70">
        <f t="shared" si="41"/>
        <v>9751.07</v>
      </c>
      <c r="J546" s="70">
        <f t="shared" si="41"/>
        <v>0</v>
      </c>
      <c r="K546" s="70">
        <f t="shared" si="41"/>
        <v>0</v>
      </c>
      <c r="L546" s="70">
        <f t="shared" si="41"/>
        <v>1084856.42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126579.01000000001</v>
      </c>
      <c r="G551" s="69">
        <f>L528</f>
        <v>153819.37</v>
      </c>
      <c r="H551" s="69">
        <f>L533</f>
        <v>0</v>
      </c>
      <c r="I551" s="69">
        <f>L538</f>
        <v>0</v>
      </c>
      <c r="J551" s="69">
        <f>L543</f>
        <v>0</v>
      </c>
      <c r="K551" s="69">
        <f>SUM(F551:J551)</f>
        <v>280398.38</v>
      </c>
      <c r="L551" s="23" t="s">
        <v>288</v>
      </c>
      <c r="M551" s="8"/>
      <c r="N551" s="164"/>
    </row>
    <row r="552" spans="1:14" s="3" customFormat="1" ht="12.2" customHeight="1" thickBot="1" x14ac:dyDescent="0.2">
      <c r="A552" s="21" t="s">
        <v>635</v>
      </c>
      <c r="B552" s="22">
        <v>21</v>
      </c>
      <c r="C552" s="22">
        <v>24</v>
      </c>
      <c r="D552" s="2" t="s">
        <v>432</v>
      </c>
      <c r="E552" s="22"/>
      <c r="F552" s="69">
        <f>L524</f>
        <v>551112.37</v>
      </c>
      <c r="G552" s="69">
        <f>L529</f>
        <v>253345.66999999998</v>
      </c>
      <c r="H552" s="69">
        <f>L534</f>
        <v>0</v>
      </c>
      <c r="I552" s="69">
        <f>L539</f>
        <v>0</v>
      </c>
      <c r="J552" s="69">
        <f>L544</f>
        <v>0</v>
      </c>
      <c r="K552" s="69">
        <f>SUM(F552:J552)</f>
        <v>804458.04</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677691.38</v>
      </c>
      <c r="G553" s="70">
        <f t="shared" si="42"/>
        <v>407165.04</v>
      </c>
      <c r="H553" s="70">
        <f t="shared" si="42"/>
        <v>0</v>
      </c>
      <c r="I553" s="70">
        <f t="shared" si="42"/>
        <v>0</v>
      </c>
      <c r="J553" s="70">
        <f t="shared" si="42"/>
        <v>0</v>
      </c>
      <c r="K553" s="70">
        <f t="shared" si="42"/>
        <v>1084856.42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t="s">
        <v>355</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v>149057.5</v>
      </c>
      <c r="I583" s="69">
        <f t="shared" si="47"/>
        <v>149057.5</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149057.5</v>
      </c>
      <c r="I589" s="79">
        <f t="shared" si="48"/>
        <v>149057.5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t="s">
        <v>286</v>
      </c>
      <c r="J592" s="18"/>
      <c r="K592" s="80">
        <f t="shared" ref="K592:K598" si="49">SUM(H592:J592)</f>
        <v>0</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v>14384.32</v>
      </c>
      <c r="J594" s="18">
        <v>26713.73</v>
      </c>
      <c r="K594" s="80">
        <f t="shared" si="49"/>
        <v>41098.050000000003</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686.98+1635.57</f>
        <v>2322.5500000000002</v>
      </c>
      <c r="J595" s="18">
        <f>1275.83+3037.45</f>
        <v>4313.28</v>
      </c>
      <c r="K595" s="80">
        <f t="shared" si="49"/>
        <v>6635.83</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f>996.17+193.58+22608.05</f>
        <v>23797.8</v>
      </c>
      <c r="J596" s="18">
        <f>1850.03+359.44+41986.27</f>
        <v>44195.74</v>
      </c>
      <c r="K596" s="80">
        <f t="shared" si="49"/>
        <v>67993.539999999994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40504.67</v>
      </c>
      <c r="J599" s="81">
        <f>SUM(J592:J598)</f>
        <v>75222.75</v>
      </c>
      <c r="K599" s="81">
        <f>SUM(K592:K598)</f>
        <v>115727.42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v>37271.58</v>
      </c>
      <c r="J605" s="18">
        <v>69325.14</v>
      </c>
      <c r="K605" s="80">
        <f>SUM(H605:J605)</f>
        <v>106596.72</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37271.58</v>
      </c>
      <c r="J606" s="81">
        <f>SUM(J603:J605)</f>
        <v>69325.14</v>
      </c>
      <c r="K606" s="81">
        <f>SUM(K603:K605)</f>
        <v>106596.72</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v>2387.5</v>
      </c>
      <c r="G613" s="18">
        <v>562.65</v>
      </c>
      <c r="H613" s="18"/>
      <c r="I613" s="18"/>
      <c r="J613" s="18"/>
      <c r="K613" s="18"/>
      <c r="L613" s="69">
        <f>SUM(F613:K613)</f>
        <v>2950.15</v>
      </c>
      <c r="M613" s="8"/>
      <c r="N613" s="164"/>
    </row>
    <row r="614" spans="1:14" s="3" customFormat="1" ht="12.2" customHeight="1" thickBot="1" x14ac:dyDescent="0.2">
      <c r="A614" s="21" t="s">
        <v>645</v>
      </c>
      <c r="B614" s="22">
        <v>23</v>
      </c>
      <c r="C614" s="22">
        <v>15</v>
      </c>
      <c r="D614" s="2" t="s">
        <v>432</v>
      </c>
      <c r="E614" s="22"/>
      <c r="F614" s="18">
        <v>3057.5</v>
      </c>
      <c r="G614" s="18">
        <v>825.28</v>
      </c>
      <c r="H614" s="18"/>
      <c r="I614" s="18"/>
      <c r="J614" s="18"/>
      <c r="K614" s="18"/>
      <c r="L614" s="69">
        <f>SUM(F614:K614)</f>
        <v>3882.7799999999997</v>
      </c>
      <c r="M614" s="8"/>
      <c r="N614" s="164"/>
    </row>
    <row r="615" spans="1:14" s="3" customFormat="1" ht="12.2" customHeight="1" thickTop="1" x14ac:dyDescent="0.15">
      <c r="A615" s="75" t="s">
        <v>340</v>
      </c>
      <c r="B615" s="41">
        <v>23</v>
      </c>
      <c r="C615" s="41">
        <v>16</v>
      </c>
      <c r="D615" s="36" t="s">
        <v>432</v>
      </c>
      <c r="E615" s="41"/>
      <c r="F615" s="81">
        <f t="shared" ref="F615:L615" si="50">SUM(F612:F614)</f>
        <v>5445</v>
      </c>
      <c r="G615" s="81">
        <f t="shared" si="50"/>
        <v>1387.9299999999998</v>
      </c>
      <c r="H615" s="81">
        <f t="shared" si="50"/>
        <v>0</v>
      </c>
      <c r="I615" s="81">
        <f t="shared" si="50"/>
        <v>0</v>
      </c>
      <c r="J615" s="81">
        <f t="shared" si="50"/>
        <v>0</v>
      </c>
      <c r="K615" s="81">
        <f t="shared" si="50"/>
        <v>0</v>
      </c>
      <c r="L615" s="70">
        <f t="shared" si="50"/>
        <v>6832.93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366103.95000000007</v>
      </c>
      <c r="H618" s="80">
        <f>SUM(F52)</f>
        <v>366103.94999999995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31568.959999999999</v>
      </c>
      <c r="H619" s="80">
        <f>SUM(G52)</f>
        <v>31568.959999999999</v>
      </c>
      <c r="I619" s="87" t="s">
        <v>872</v>
      </c>
      <c r="J619" s="80">
        <f>G619-H619</f>
        <v>0</v>
      </c>
      <c r="K619" s="80"/>
      <c r="L619" s="80"/>
      <c r="M619" s="8"/>
    </row>
    <row r="620" spans="1:14" s="3" customFormat="1" ht="12.2" customHeight="1" x14ac:dyDescent="0.15">
      <c r="A620" s="74"/>
      <c r="B620" s="22"/>
      <c r="C620" s="22"/>
      <c r="D620" s="22"/>
      <c r="E620" s="22"/>
      <c r="F620" s="87" t="s">
        <v>685</v>
      </c>
      <c r="G620" s="80">
        <f>SUM(H19)</f>
        <v>78075.13</v>
      </c>
      <c r="H620" s="80">
        <f>SUM(H52)</f>
        <v>78075.13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488238.98</v>
      </c>
      <c r="H622" s="80">
        <f>SUM(J52)</f>
        <v>488238.98</v>
      </c>
      <c r="I622" s="87" t="s">
        <v>875</v>
      </c>
      <c r="J622" s="80">
        <f>G622-H622</f>
        <v>0</v>
      </c>
      <c r="K622" s="80"/>
      <c r="L622" s="80"/>
      <c r="M622" s="8"/>
    </row>
    <row r="623" spans="1:14" s="3" customFormat="1" ht="12.2" customHeight="1" x14ac:dyDescent="0.15">
      <c r="A623" s="74"/>
      <c r="B623" s="22"/>
      <c r="C623" s="22"/>
      <c r="D623" s="22"/>
      <c r="E623" s="22"/>
      <c r="F623" s="87" t="s">
        <v>861</v>
      </c>
      <c r="G623" s="80">
        <f>F51</f>
        <v>328617.86</v>
      </c>
      <c r="H623" s="80">
        <f>F477</f>
        <v>328617.86000000034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39279.379999999997</v>
      </c>
      <c r="H625" s="80">
        <f>H477</f>
        <v>39279.379999999946</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488238.98</v>
      </c>
      <c r="H627" s="80">
        <f>J477</f>
        <v>488238.98</v>
      </c>
      <c r="I627" s="87" t="s">
        <v>105</v>
      </c>
      <c r="J627" s="80">
        <f t="shared" si="51"/>
        <v>0</v>
      </c>
      <c r="K627" s="67"/>
      <c r="L627" s="69"/>
      <c r="M627" s="8"/>
    </row>
    <row r="628" spans="1:13" s="3" customFormat="1" ht="12.2" customHeight="1" x14ac:dyDescent="0.15">
      <c r="A628" s="21"/>
      <c r="B628" s="22"/>
      <c r="C628" s="22"/>
      <c r="D628" s="22"/>
      <c r="E628" s="22"/>
      <c r="F628" s="86" t="s">
        <v>658</v>
      </c>
      <c r="G628" s="80">
        <f>F194</f>
        <v>6574149.9699999997</v>
      </c>
      <c r="H628" s="80">
        <f>SUM(F469)</f>
        <v>6574149.9699999997</v>
      </c>
      <c r="I628" s="87" t="s">
        <v>106</v>
      </c>
      <c r="J628" s="80">
        <f>G628-H628</f>
        <v>0</v>
      </c>
      <c r="K628" s="67"/>
      <c r="L628" s="69"/>
      <c r="M628" s="8"/>
    </row>
    <row r="629" spans="1:13" s="3" customFormat="1" ht="12.2" customHeight="1" x14ac:dyDescent="0.15">
      <c r="A629" s="21"/>
      <c r="B629" s="22"/>
      <c r="C629" s="22"/>
      <c r="D629" s="22"/>
      <c r="E629" s="22"/>
      <c r="F629" s="86" t="s">
        <v>659</v>
      </c>
      <c r="G629" s="80">
        <f>G194</f>
        <v>134518.89000000001</v>
      </c>
      <c r="H629" s="80">
        <f>SUM(G469)</f>
        <v>134518.89000000001</v>
      </c>
      <c r="I629" s="87" t="s">
        <v>107</v>
      </c>
      <c r="J629" s="80">
        <f>G629-H629</f>
        <v>0</v>
      </c>
      <c r="K629" s="67"/>
      <c r="L629" s="69"/>
      <c r="M629" s="8"/>
    </row>
    <row r="630" spans="1:13" s="3" customFormat="1" ht="12.2" customHeight="1" x14ac:dyDescent="0.15">
      <c r="A630" s="21"/>
      <c r="B630" s="22"/>
      <c r="C630" s="22"/>
      <c r="D630" s="22"/>
      <c r="E630" s="22"/>
      <c r="F630" s="86" t="s">
        <v>660</v>
      </c>
      <c r="G630" s="80">
        <f>H194</f>
        <v>458427.74</v>
      </c>
      <c r="H630" s="80">
        <f>SUM(H469)</f>
        <v>458427.74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12995.2</v>
      </c>
      <c r="H632" s="80">
        <f>SUM(J469)</f>
        <v>12995.2</v>
      </c>
      <c r="I632" s="87" t="s">
        <v>110</v>
      </c>
      <c r="J632" s="80">
        <f>G632-H632</f>
        <v>0</v>
      </c>
      <c r="K632" s="67"/>
      <c r="L632" s="69"/>
      <c r="M632" s="8"/>
    </row>
    <row r="633" spans="1:13" s="3" customFormat="1" ht="12.2" customHeight="1" x14ac:dyDescent="0.15">
      <c r="A633" s="21"/>
      <c r="B633" s="22"/>
      <c r="C633" s="22"/>
      <c r="D633" s="22"/>
      <c r="E633" s="22"/>
      <c r="F633" s="86" t="s">
        <v>394</v>
      </c>
      <c r="G633" s="80">
        <f>SUM(L272)</f>
        <v>6470653.4700000007</v>
      </c>
      <c r="H633" s="80">
        <f>SUM(F473)</f>
        <v>6470653.4699999997</v>
      </c>
      <c r="I633" s="87" t="s">
        <v>111</v>
      </c>
      <c r="J633" s="80">
        <f t="shared" si="51"/>
        <v>0</v>
      </c>
      <c r="K633" s="67"/>
      <c r="L633" s="69"/>
      <c r="M633" s="8"/>
    </row>
    <row r="634" spans="1:13" s="3" customFormat="1" ht="12.2" customHeight="1" x14ac:dyDescent="0.15">
      <c r="A634" s="21"/>
      <c r="B634" s="22"/>
      <c r="C634" s="22"/>
      <c r="D634" s="22"/>
      <c r="E634" s="22"/>
      <c r="F634" s="86" t="s">
        <v>395</v>
      </c>
      <c r="G634" s="80">
        <f>SUM(L353)</f>
        <v>455477.65</v>
      </c>
      <c r="H634" s="80">
        <f>SUM(H473)</f>
        <v>455477.65</v>
      </c>
      <c r="I634" s="87" t="s">
        <v>112</v>
      </c>
      <c r="J634" s="80">
        <f>G634-H634</f>
        <v>0</v>
      </c>
      <c r="K634" s="67"/>
      <c r="L634" s="69"/>
      <c r="M634" s="8"/>
    </row>
    <row r="635" spans="1:13" s="124" customFormat="1" ht="12.2" customHeight="1" x14ac:dyDescent="0.15">
      <c r="A635" s="21"/>
      <c r="B635" s="22"/>
      <c r="C635" s="22"/>
      <c r="D635" s="22"/>
      <c r="E635" s="22"/>
      <c r="F635" s="99" t="s">
        <v>247</v>
      </c>
      <c r="G635" s="80">
        <f>I363</f>
        <v>54185.409999999996</v>
      </c>
      <c r="H635" s="80">
        <f>I370</f>
        <v>54185.410000000011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134518.89000000001</v>
      </c>
      <c r="H636" s="80">
        <f>SUM(G473)</f>
        <v>134518.89000000001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12995.2</v>
      </c>
      <c r="H638" s="108">
        <f>SUM(J469)</f>
        <v>12995.2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2306.94</v>
      </c>
      <c r="H639" s="108">
        <f>SUM(J473)</f>
        <v>2306.94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488238.98</v>
      </c>
      <c r="H641" s="80">
        <f>SUM(G462)</f>
        <v>488238.98</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488238.98</v>
      </c>
      <c r="H643" s="80">
        <f>SUM(I462)</f>
        <v>488238.98</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12995.2</v>
      </c>
      <c r="H645" s="80">
        <f>H409</f>
        <v>12995.2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12995.2</v>
      </c>
      <c r="H647" s="80">
        <f>L409</f>
        <v>12995.2</v>
      </c>
      <c r="I647" s="87" t="s">
        <v>477</v>
      </c>
      <c r="J647" s="80">
        <f t="shared" si="51"/>
        <v>0</v>
      </c>
      <c r="K647" s="67"/>
      <c r="L647" s="69"/>
      <c r="M647" s="8"/>
    </row>
    <row r="648" spans="1:13" s="3" customFormat="1" ht="12.2" customHeight="1" x14ac:dyDescent="0.15">
      <c r="A648" s="21"/>
      <c r="B648" s="22"/>
      <c r="C648" s="22"/>
      <c r="D648" s="22"/>
      <c r="E648" s="22"/>
      <c r="F648" s="86" t="s">
        <v>51</v>
      </c>
      <c r="G648" s="80">
        <f>K599</f>
        <v>115727.42</v>
      </c>
      <c r="H648" s="80">
        <f>L209+L227+L245</f>
        <v>115727.41999999998</v>
      </c>
      <c r="I648" s="87" t="s">
        <v>396</v>
      </c>
      <c r="J648" s="80">
        <f t="shared" si="51"/>
        <v>0</v>
      </c>
      <c r="K648" s="67"/>
      <c r="L648" s="69"/>
      <c r="M648" s="8"/>
    </row>
    <row r="649" spans="1:13" s="3" customFormat="1" ht="12.2" customHeight="1" x14ac:dyDescent="0.15">
      <c r="A649" s="21"/>
      <c r="B649" s="22"/>
      <c r="C649" s="22"/>
      <c r="D649" s="22"/>
      <c r="E649" s="22"/>
      <c r="F649" s="86" t="s">
        <v>52</v>
      </c>
      <c r="G649" s="80">
        <f>K606</f>
        <v>106596.72</v>
      </c>
      <c r="H649" s="80">
        <f>(J258+J339)-(J256+J337)</f>
        <v>106596.72</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40504.67</v>
      </c>
      <c r="H651" s="80">
        <f>I599</f>
        <v>40504.67</v>
      </c>
      <c r="I651" s="87" t="s">
        <v>389</v>
      </c>
      <c r="J651" s="80">
        <f t="shared" si="51"/>
        <v>0</v>
      </c>
      <c r="K651" s="67"/>
      <c r="L651" s="69"/>
      <c r="M651" s="8"/>
    </row>
    <row r="652" spans="1:13" s="3" customFormat="1" ht="12.2" customHeight="1" x14ac:dyDescent="0.15">
      <c r="A652" s="21"/>
      <c r="B652" s="22"/>
      <c r="C652" s="22"/>
      <c r="D652" s="22"/>
      <c r="E652" s="22"/>
      <c r="F652" s="86" t="s">
        <v>393</v>
      </c>
      <c r="G652" s="80">
        <f>L245</f>
        <v>75222.749999999985</v>
      </c>
      <c r="H652" s="80">
        <f>J599</f>
        <v>75222.75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24869.22</v>
      </c>
      <c r="H653" s="80">
        <f>K264+K346</f>
        <v>24869.22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2036578.3600000003</v>
      </c>
      <c r="H661" s="13">
        <f>(L248+L329+L361)</f>
        <v>4281568.0500000007</v>
      </c>
      <c r="I661" s="13">
        <f>SUM(F661:H661)</f>
        <v>6318146.4100000011</v>
      </c>
      <c r="J661" s="13"/>
      <c r="K661" s="13"/>
      <c r="L661" s="13"/>
      <c r="M661" s="9"/>
    </row>
    <row r="662" spans="1:13" s="3" customFormat="1" ht="12.2" customHeight="1" x14ac:dyDescent="0.2">
      <c r="A662" s="1" t="s">
        <v>127</v>
      </c>
      <c r="F662" s="13">
        <f>(L359/IF(SUM(L359:L361)=0,1,SUM(L359:L361))*(SUM(G97:G110)))</f>
        <v>0</v>
      </c>
      <c r="G662" s="13">
        <f>(L360/IF(SUM(L359:L361)=0,1,SUM(L359:L361))*(SUM(G97:G110)))</f>
        <v>27850.160612705764</v>
      </c>
      <c r="H662" s="13">
        <f>(L361/IF(SUM(L359:L361)=0,1,SUM(L359:L361))*(SUM(G97:G110)))</f>
        <v>51721.729387294225</v>
      </c>
      <c r="I662" s="13">
        <f>SUM(F662:H662)</f>
        <v>79571.889999999985</v>
      </c>
      <c r="J662"/>
      <c r="K662" s="13"/>
      <c r="L662" s="13"/>
      <c r="M662" s="8"/>
    </row>
    <row r="663" spans="1:13" s="3" customFormat="1" ht="12.2" customHeight="1" x14ac:dyDescent="0.2">
      <c r="A663" s="1" t="s">
        <v>128</v>
      </c>
      <c r="F663" s="13">
        <f>(L209+L288)-(J209+J288)</f>
        <v>0</v>
      </c>
      <c r="G663" s="13">
        <f>(L227+L307)-(J227+J307)</f>
        <v>53479.519999999997</v>
      </c>
      <c r="H663" s="13">
        <f>(L245+L326)-(J245+J326)</f>
        <v>100817.94999999998</v>
      </c>
      <c r="I663" s="13">
        <f>SUM(F663:H663)</f>
        <v>154297.46999999997</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40221.730000000003</v>
      </c>
      <c r="H664" s="142">
        <f>SUM(H576:H588)+SUM(J603:J605)+L614</f>
        <v>222265.42</v>
      </c>
      <c r="I664" s="13">
        <f>SUM(F664:H664)</f>
        <v>262487.15000000002</v>
      </c>
      <c r="J664" s="13"/>
      <c r="K664" s="13"/>
      <c r="L664" s="13"/>
      <c r="M664" s="9"/>
    </row>
    <row r="665" spans="1:13" s="3" customFormat="1" ht="12.2" customHeight="1" x14ac:dyDescent="0.15">
      <c r="A665" s="1" t="s">
        <v>130</v>
      </c>
      <c r="F665" s="13">
        <f>F661-SUM(F662:F664)</f>
        <v>0</v>
      </c>
      <c r="G665" s="13">
        <f>G661-SUM(G662:G664)</f>
        <v>1915026.9493872945</v>
      </c>
      <c r="H665" s="13">
        <f>H661-SUM(H662:H664)</f>
        <v>3906762.9506127066</v>
      </c>
      <c r="I665" s="13">
        <f>I661-SUM(I662:I664)</f>
        <v>5821789.9000000013</v>
      </c>
      <c r="J665" s="13"/>
      <c r="K665" s="13"/>
      <c r="L665" s="13"/>
      <c r="M665" s="8"/>
    </row>
    <row r="666" spans="1:13" s="3" customFormat="1" ht="12.2" customHeight="1" x14ac:dyDescent="0.2">
      <c r="A666" s="1" t="s">
        <v>131</v>
      </c>
      <c r="F666" s="182"/>
      <c r="G666" s="183">
        <v>69.28</v>
      </c>
      <c r="H666" s="183">
        <v>141</v>
      </c>
      <c r="I666" s="13">
        <f>SUM(F666:H666)</f>
        <v>210.28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27641.84</v>
      </c>
      <c r="H668" s="13">
        <f>ROUND(H665/H666,2)</f>
        <v>27707.54</v>
      </c>
      <c r="I668" s="13">
        <f>ROUND(I665/I666,2)</f>
        <v>27685.89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-5.16</v>
      </c>
      <c r="I671" s="13">
        <f>SUM(F671:H671)</f>
        <v>-5.16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27641.84</v>
      </c>
      <c r="H673" s="13">
        <f>ROUND((H665+H670)/(H666+H671),2)</f>
        <v>28760.03</v>
      </c>
      <c r="I673" s="13">
        <f>ROUND((I665+I670)/(I666+I671),2)</f>
        <v>28382.36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G22" sqref="G22"/>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16108.869999999999</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1200.86+6392.37</f>
        <v>7593.23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8515.64</f>
        <v>8515.64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12950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Profile</v>
      </c>
      <c r="C5" s="321"/>
      <c r="D5" s="321"/>
      <c r="E5" s="321"/>
      <c r="F5" s="321"/>
    </row>
    <row r="8" spans="1:9" ht="18" x14ac:dyDescent="0.25">
      <c r="A8" s="239" t="s">
        <v>1548</v>
      </c>
      <c r="F8" s="246" t="s">
        <v>1566</v>
      </c>
    </row>
    <row r="9" spans="1:9" ht="15" x14ac:dyDescent="0.2">
      <c r="A9" s="237" t="s">
        <v>1549</v>
      </c>
      <c r="B9" s="240">
        <f>'DOE25'!G97</f>
        <v>79571.89</v>
      </c>
      <c r="F9" s="237" t="s">
        <v>1562</v>
      </c>
    </row>
    <row r="10" spans="1:9" ht="15" x14ac:dyDescent="0.2">
      <c r="A10" s="237" t="s">
        <v>1550</v>
      </c>
      <c r="B10" s="240">
        <f>'DOE25'!G112-'DOE25'!G97</f>
        <v>0</v>
      </c>
      <c r="F10" s="237" t="s">
        <v>1563</v>
      </c>
    </row>
    <row r="11" spans="1:9" ht="15" x14ac:dyDescent="0.2">
      <c r="A11" s="237" t="s">
        <v>1551</v>
      </c>
      <c r="B11" s="240">
        <f>'DOE25'!G140</f>
        <v>1215.44</v>
      </c>
      <c r="F11" s="237" t="s">
        <v>1564</v>
      </c>
    </row>
    <row r="12" spans="1:9" ht="15" x14ac:dyDescent="0.2">
      <c r="A12" s="237" t="s">
        <v>1552</v>
      </c>
      <c r="B12" s="240">
        <f>'DOE25'!G170</f>
        <v>28862.34</v>
      </c>
      <c r="F12" s="237" t="s">
        <v>1565</v>
      </c>
    </row>
    <row r="13" spans="1:9" ht="15" x14ac:dyDescent="0.2">
      <c r="A13" s="237" t="s">
        <v>1553</v>
      </c>
      <c r="B13" s="240">
        <f>'DOE25'!G193-'DOE25'!G180</f>
        <v>0</v>
      </c>
      <c r="F13" s="237" t="s">
        <v>1575</v>
      </c>
    </row>
    <row r="14" spans="1:9" ht="18" x14ac:dyDescent="0.25">
      <c r="A14" s="239" t="s">
        <v>732</v>
      </c>
      <c r="B14" s="241">
        <f>SUM(B9:B13)</f>
        <v>109649.67</v>
      </c>
    </row>
    <row r="16" spans="1:9" ht="18" x14ac:dyDescent="0.25">
      <c r="A16" s="239" t="s">
        <v>783</v>
      </c>
      <c r="F16" s="246" t="s">
        <v>1567</v>
      </c>
    </row>
    <row r="17" spans="1:6" ht="15" x14ac:dyDescent="0.2">
      <c r="A17" s="237" t="s">
        <v>1554</v>
      </c>
      <c r="B17" s="240">
        <f>'DOE25'!L363-'DOE25'!L362</f>
        <v>134518.89000000001</v>
      </c>
      <c r="F17" s="237" t="s">
        <v>1568</v>
      </c>
    </row>
    <row r="18" spans="1:6" ht="15" x14ac:dyDescent="0.2">
      <c r="A18" s="237" t="s">
        <v>1555</v>
      </c>
      <c r="B18" s="250">
        <v>0</v>
      </c>
      <c r="F18" s="246" t="s">
        <v>1592</v>
      </c>
    </row>
    <row r="19" spans="1:6" ht="18" x14ac:dyDescent="0.25">
      <c r="A19" s="239" t="s">
        <v>725</v>
      </c>
      <c r="B19" s="241">
        <f>SUM(B17:B18)</f>
        <v>134518.89000000001</v>
      </c>
    </row>
    <row r="21" spans="1:6" ht="18.75" thickBot="1" x14ac:dyDescent="0.3">
      <c r="A21" s="239" t="s">
        <v>1556</v>
      </c>
    </row>
    <row r="22" spans="1:6" ht="18.75" thickTop="1" x14ac:dyDescent="0.25">
      <c r="A22" s="239" t="s">
        <v>1557</v>
      </c>
      <c r="B22" s="245">
        <f>B14-B19</f>
        <v>-24869.220000000016</v>
      </c>
      <c r="F22" s="237" t="s">
        <v>1569</v>
      </c>
    </row>
    <row r="26" spans="1:6" ht="18" x14ac:dyDescent="0.25">
      <c r="A26" s="239" t="s">
        <v>186</v>
      </c>
    </row>
    <row r="27" spans="1:6" ht="15" x14ac:dyDescent="0.2">
      <c r="A27" s="237" t="s">
        <v>1558</v>
      </c>
      <c r="B27" s="240">
        <f>'DOE25'!G180</f>
        <v>24869.22</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12383</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9" sqref="B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Profile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1575719.8299999998</v>
      </c>
      <c r="C9" s="166">
        <f>'DOE25'!G198+'DOE25'!G216+'DOE25'!G234+'DOE25'!G277+'DOE25'!G296+'DOE25'!G315</f>
        <v>830314.03</v>
      </c>
    </row>
    <row r="10" spans="1:3" x14ac:dyDescent="0.2">
      <c r="A10" t="s">
        <v>772</v>
      </c>
      <c r="B10" s="176">
        <v>1458133.72</v>
      </c>
      <c r="C10" s="176">
        <v>791700.97</v>
      </c>
    </row>
    <row r="11" spans="1:3" x14ac:dyDescent="0.2">
      <c r="A11" t="s">
        <v>773</v>
      </c>
      <c r="B11" s="176">
        <v>34129.46</v>
      </c>
      <c r="C11" s="176">
        <f>7228.62+25000</f>
        <v>32228.62</v>
      </c>
    </row>
    <row r="12" spans="1:3" x14ac:dyDescent="0.2">
      <c r="A12" t="s">
        <v>774</v>
      </c>
      <c r="B12" s="176">
        <v>83456.649999999994</v>
      </c>
      <c r="C12" s="176">
        <v>6384.44</v>
      </c>
    </row>
    <row r="13" spans="1:3" x14ac:dyDescent="0.2">
      <c r="A13" t="str">
        <f>IF(B9=B13,IF(C9=C13,"Check Total OK","Check Total Error"),"Check Total Error")</f>
        <v>Check Total OK</v>
      </c>
      <c r="B13" s="168">
        <f>SUM(B10:B12)</f>
        <v>1575719.8299999998</v>
      </c>
      <c r="C13" s="168">
        <f>SUM(C10:C12)</f>
        <v>830314.02999999991</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323104.34000000003</v>
      </c>
      <c r="C18" s="166">
        <f>'DOE25'!G199+'DOE25'!G217+'DOE25'!G235+'DOE25'!G278+'DOE25'!G297+'DOE25'!G316</f>
        <v>183883.72</v>
      </c>
    </row>
    <row r="19" spans="1:3" x14ac:dyDescent="0.2">
      <c r="A19" t="s">
        <v>772</v>
      </c>
      <c r="B19" s="176">
        <v>143701.9</v>
      </c>
      <c r="C19" s="176">
        <v>146272.84</v>
      </c>
    </row>
    <row r="20" spans="1:3" x14ac:dyDescent="0.2">
      <c r="A20" t="s">
        <v>773</v>
      </c>
      <c r="B20" s="176">
        <v>176545.28</v>
      </c>
      <c r="C20" s="176">
        <v>37392.300000000003</v>
      </c>
    </row>
    <row r="21" spans="1:3" x14ac:dyDescent="0.2">
      <c r="A21" t="s">
        <v>774</v>
      </c>
      <c r="B21" s="176">
        <v>2857.16</v>
      </c>
      <c r="C21" s="176">
        <v>218.58</v>
      </c>
    </row>
    <row r="22" spans="1:3" x14ac:dyDescent="0.2">
      <c r="A22" t="str">
        <f>IF(B18=B22,IF(C18=C22,"Check Total OK","Check Total Error"),"Check Total Error")</f>
        <v>Check Total OK</v>
      </c>
      <c r="B22" s="168">
        <f>SUM(B19:B21)</f>
        <v>323104.33999999997</v>
      </c>
      <c r="C22" s="168">
        <f>SUM(C19:C21)</f>
        <v>183883.72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146025.93</v>
      </c>
      <c r="C27" s="171">
        <f>'DOE25'!G200+'DOE25'!G218+'DOE25'!G236+'DOE25'!G279+'DOE25'!G298+'DOE25'!G317</f>
        <v>56579.1</v>
      </c>
    </row>
    <row r="28" spans="1:3" x14ac:dyDescent="0.2">
      <c r="A28" t="s">
        <v>772</v>
      </c>
      <c r="B28" s="176">
        <v>146025.93</v>
      </c>
      <c r="C28" s="176">
        <v>56579.1</v>
      </c>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146025.93</v>
      </c>
      <c r="C31" s="168">
        <f>SUM(C28:C30)</f>
        <v>56579.1</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128362.75</v>
      </c>
      <c r="C36" s="172">
        <f>'DOE25'!G201+'DOE25'!G219+'DOE25'!G237+'DOE25'!G280+'DOE25'!G299+'DOE25'!G318</f>
        <v>26597.57</v>
      </c>
    </row>
    <row r="37" spans="1:3" x14ac:dyDescent="0.2">
      <c r="A37" t="s">
        <v>772</v>
      </c>
      <c r="B37" s="176">
        <v>128362.75</v>
      </c>
      <c r="C37" s="176">
        <v>26597.57</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128362.75</v>
      </c>
      <c r="C40" s="168">
        <f>SUM(C37:C39)</f>
        <v>26597.57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42" sqref="D4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Profile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3434471.2100000004</v>
      </c>
      <c r="D5" s="19">
        <f>SUM('DOE25'!L198:L201)+SUM('DOE25'!L216:L219)+SUM('DOE25'!L234:L237)-F5-G5-H5</f>
        <v>3409250.0800000005</v>
      </c>
      <c r="E5" s="179"/>
      <c r="F5" s="180"/>
      <c r="G5" s="19">
        <f>SUM('DOE25'!J198:J201)+SUM('DOE25'!J216:J219)+SUM('DOE25'!J234:J237)</f>
        <v>15257.810000000001</v>
      </c>
      <c r="H5" s="19">
        <f>SUM('DOE25'!K198:K201)+SUM('DOE25'!K216:K219)+SUM('DOE25'!K234:K237)</f>
        <v>9963.32</v>
      </c>
      <c r="I5" s="191"/>
    </row>
    <row r="6" spans="1:9" x14ac:dyDescent="0.2">
      <c r="A6" s="31">
        <v>2100</v>
      </c>
      <c r="B6" t="s">
        <v>793</v>
      </c>
      <c r="C6" s="205" t="e">
        <f t="shared" si="0"/>
        <v>#VALUE!</v>
      </c>
      <c r="D6" s="19" t="e">
        <f>'DOE25'!L203+'DOE25'!L221+'DOE25'!L239-F6-G6-H6</f>
        <v>#VALUE!</v>
      </c>
      <c r="E6" s="179"/>
      <c r="F6" s="180"/>
      <c r="G6" s="19" t="e">
        <f>'DOE25'!J203+'DOE25'!J221+'DOE25'!J239</f>
        <v>#VALUE!</v>
      </c>
      <c r="H6" s="19">
        <f>'DOE25'!K203+'DOE25'!K221+'DOE25'!K239</f>
        <v>0</v>
      </c>
      <c r="I6" s="191"/>
    </row>
    <row r="7" spans="1:9" x14ac:dyDescent="0.2">
      <c r="A7" s="31">
        <v>2200</v>
      </c>
      <c r="B7" t="s">
        <v>817</v>
      </c>
      <c r="C7" s="205">
        <f t="shared" si="0"/>
        <v>265012.32</v>
      </c>
      <c r="D7" s="19">
        <f>'DOE25'!L204+'DOE25'!L222+'DOE25'!L240-F7-G7-H7</f>
        <v>243099.05000000002</v>
      </c>
      <c r="E7" s="179"/>
      <c r="F7" s="180"/>
      <c r="G7" s="19">
        <f>'DOE25'!J204+'DOE25'!J222+'DOE25'!J240</f>
        <v>0</v>
      </c>
      <c r="H7" s="19">
        <f>'DOE25'!K204+'DOE25'!K222+'DOE25'!K240</f>
        <v>21913.27</v>
      </c>
      <c r="I7" s="191"/>
    </row>
    <row r="8" spans="1:9" x14ac:dyDescent="0.2">
      <c r="A8" s="31">
        <v>2300</v>
      </c>
      <c r="B8" t="s">
        <v>794</v>
      </c>
      <c r="C8" s="205">
        <f t="shared" si="0"/>
        <v>303643.01</v>
      </c>
      <c r="D8" s="179"/>
      <c r="E8" s="19">
        <f>'DOE25'!L205+'DOE25'!L223+'DOE25'!L241-F8-G8-H8-D9-D11</f>
        <v>290731.48000000004</v>
      </c>
      <c r="F8" s="180"/>
      <c r="G8" s="19">
        <f>'DOE25'!J205+'DOE25'!J223+'DOE25'!J241</f>
        <v>0</v>
      </c>
      <c r="H8" s="19">
        <f>'DOE25'!K205+'DOE25'!K223+'DOE25'!K241</f>
        <v>12911.529999999999</v>
      </c>
      <c r="I8" s="191"/>
    </row>
    <row r="9" spans="1:9" ht="14.25" x14ac:dyDescent="0.2">
      <c r="A9" s="31">
        <v>2310</v>
      </c>
      <c r="B9" s="71" t="s">
        <v>884</v>
      </c>
      <c r="C9" s="205">
        <f t="shared" si="0"/>
        <v>129912.42</v>
      </c>
      <c r="D9" s="180">
        <v>129912.42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509159.29000000004</v>
      </c>
      <c r="D12" s="19">
        <f>'DOE25'!L206+'DOE25'!L224+'DOE25'!L242-F12-G12-H12</f>
        <v>501071.89</v>
      </c>
      <c r="E12" s="179"/>
      <c r="F12" s="180"/>
      <c r="G12" s="19">
        <f>'DOE25'!J206+'DOE25'!J224+'DOE25'!J242</f>
        <v>0</v>
      </c>
      <c r="H12" s="19">
        <f>'DOE25'!K206+'DOE25'!K224+'DOE25'!K242</f>
        <v>8087.4</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526792.64999999991</v>
      </c>
      <c r="D14" s="19">
        <f>'DOE25'!L208+'DOE25'!L226+'DOE25'!L244-F14-G14-H14</f>
        <v>515315.46999999991</v>
      </c>
      <c r="E14" s="179"/>
      <c r="F14" s="180"/>
      <c r="G14" s="19">
        <f>'DOE25'!J208+'DOE25'!J226+'DOE25'!J244</f>
        <v>11440.58</v>
      </c>
      <c r="H14" s="19">
        <f>'DOE25'!K208+'DOE25'!K226+'DOE25'!K244</f>
        <v>36.6</v>
      </c>
      <c r="I14" s="191"/>
    </row>
    <row r="15" spans="1:9" x14ac:dyDescent="0.2">
      <c r="A15" s="31">
        <v>2700</v>
      </c>
      <c r="B15" t="s">
        <v>796</v>
      </c>
      <c r="C15" s="205">
        <f t="shared" si="0"/>
        <v>115727.41999999998</v>
      </c>
      <c r="D15" s="19">
        <f>'DOE25'!L209+'DOE25'!L227+'DOE25'!L245-F15-G15-H15</f>
        <v>115727.41999999998</v>
      </c>
      <c r="E15" s="179"/>
      <c r="F15" s="180"/>
      <c r="G15" s="19">
        <f>'DOE25'!J209+'DOE25'!J227+'DOE25'!J245</f>
        <v>0</v>
      </c>
      <c r="H15" s="19">
        <f>'DOE25'!K209+'DOE25'!K227+'DOE25'!K245</f>
        <v>0</v>
      </c>
      <c r="I15" s="191"/>
    </row>
    <row r="16" spans="1:9" x14ac:dyDescent="0.2">
      <c r="A16" s="31">
        <v>2800</v>
      </c>
      <c r="B16" t="s">
        <v>797</v>
      </c>
      <c r="C16" s="205">
        <f t="shared" si="0"/>
        <v>52141.919999999998</v>
      </c>
      <c r="D16" s="179"/>
      <c r="E16" s="19">
        <f>'DOE25'!L210+'DOE25'!L228+'DOE25'!L246-F16-G16-H16</f>
        <v>6930.3399999999965</v>
      </c>
      <c r="F16" s="180"/>
      <c r="G16" s="19">
        <f>'DOE25'!J210+'DOE25'!J228+'DOE25'!J246</f>
        <v>45211.58</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711006.26</v>
      </c>
      <c r="D25" s="179"/>
      <c r="E25" s="179"/>
      <c r="F25" s="190"/>
      <c r="G25" s="179"/>
      <c r="H25" s="179"/>
      <c r="I25" s="189">
        <f>'DOE25'!L261+'DOE25'!L262+'DOE25'!L342+'DOE25'!L343</f>
        <v>711006.26</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33566.810000000005</v>
      </c>
      <c r="D29" s="211">
        <f>'DOE25'!L359+'DOE25'!L360+'DOE25'!L361-'DOE25'!I368-F29-G29-H29-F39</f>
        <v>33566.810000000005</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455477.65</v>
      </c>
      <c r="D31" s="19">
        <f>'DOE25'!L291+'DOE25'!L310+'DOE25'!L329+'DOE25'!L334+'DOE25'!L335+'DOE25'!L336-F31-G31-H31</f>
        <v>307060.29000000004</v>
      </c>
      <c r="E31" s="179"/>
      <c r="F31" s="180"/>
      <c r="G31" s="19">
        <f>'DOE25'!J291+'DOE25'!J310+'DOE25'!J329+'DOE25'!J334+'DOE25'!J335+'DOE25'!J336</f>
        <v>34686.75</v>
      </c>
      <c r="H31" s="19">
        <f>'DOE25'!K291+'DOE25'!K310+'DOE25'!K329+'DOE25'!K334+'DOE25'!K335+'DOE25'!K336</f>
        <v>113730.61</v>
      </c>
      <c r="I31" s="191"/>
    </row>
    <row r="32" spans="1:9" ht="12" thickBot="1" x14ac:dyDescent="0.25">
      <c r="C32" s="206"/>
      <c r="G32" s="187"/>
      <c r="H32" s="187"/>
      <c r="I32" s="193"/>
    </row>
    <row r="33" spans="1:9" ht="12" thickTop="1" x14ac:dyDescent="0.2">
      <c r="B33" t="s">
        <v>806</v>
      </c>
      <c r="D33" s="181" t="e">
        <f t="shared" ref="D33:I33" si="1">SUM(D5:D31)</f>
        <v>#VALUE!</v>
      </c>
      <c r="E33" s="181">
        <f t="shared" si="1"/>
        <v>297661.82000000007</v>
      </c>
      <c r="F33" s="181">
        <f t="shared" si="1"/>
        <v>0</v>
      </c>
      <c r="G33" s="181" t="e">
        <f t="shared" si="1"/>
        <v>#VALUE!</v>
      </c>
      <c r="H33" s="181">
        <f t="shared" si="1"/>
        <v>166642.72999999998</v>
      </c>
      <c r="I33" s="181">
        <f t="shared" si="1"/>
        <v>711006.26</v>
      </c>
    </row>
    <row r="34" spans="1:9" ht="12" thickBot="1" x14ac:dyDescent="0.25"/>
    <row r="35" spans="1:9" ht="12" thickBot="1" x14ac:dyDescent="0.25">
      <c r="B35" s="187" t="s">
        <v>827</v>
      </c>
      <c r="D35" s="188">
        <f>E33</f>
        <v>297661.82000000007</v>
      </c>
      <c r="E35" s="184"/>
      <c r="F35" s="294" t="s">
        <v>1596</v>
      </c>
      <c r="G35" s="295"/>
      <c r="H35" s="295"/>
      <c r="I35" s="296"/>
    </row>
    <row r="36" spans="1:9" ht="12" thickTop="1" x14ac:dyDescent="0.2">
      <c r="B36" t="s">
        <v>807</v>
      </c>
      <c r="D36" s="19" t="e">
        <f>D33</f>
        <v>#VALUE!</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50476.04</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G25" zoomScaleNormal="100" workbookViewId="0">
      <selection activeCell="U42" sqref="U42"/>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Profile</v>
      </c>
      <c r="B2">
        <f>'DOE25'!B2</f>
        <v>450</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1962538.1099999996</v>
      </c>
      <c r="P2" s="316">
        <f>'Salaries-Benefits'!B11+'Salaries-Benefits'!B20+'Salaries-Benefits'!B29+'Salaries-Benefits'!B38</f>
        <v>210674.74</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1112555.1800000002</v>
      </c>
      <c r="L23" s="19">
        <f>'DOE25'!L221+'DOE25'!L301</f>
        <v>170523.32</v>
      </c>
      <c r="M23" s="19">
        <f>'DOE25'!L222+'DOE25'!L302</f>
        <v>99593.37</v>
      </c>
      <c r="N23" s="19">
        <f>'DOE25'!L224+'DOE25'!L304</f>
        <v>182724.84</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1989496.75</v>
      </c>
      <c r="G25" s="228">
        <f>'DOE25'!L230+'DOE25'!L310</f>
        <v>1989496.7500000002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0</v>
      </c>
      <c r="E26" s="219"/>
      <c r="F26" s="231">
        <f>D26+E26</f>
        <v>0</v>
      </c>
      <c r="G26" s="222"/>
      <c r="H26" s="222"/>
      <c r="J26" s="71" t="s">
        <v>1840</v>
      </c>
      <c r="K26" s="315">
        <v>0</v>
      </c>
      <c r="L26" s="315">
        <v>0</v>
      </c>
      <c r="M26" s="315">
        <v>0</v>
      </c>
      <c r="N26" s="315">
        <v>0</v>
      </c>
      <c r="O26" s="315"/>
      <c r="P26" s="315"/>
      <c r="Q26" s="315"/>
    </row>
    <row r="27" spans="1:17" x14ac:dyDescent="0.2">
      <c r="A27" t="str" cm="1">
        <f t="array" ref="A27">IFERROR(INDEX('School Tables'!$L$4:$R$100,'School Tables'!$U4,3),"")</f>
        <v>Profile Junior High School</v>
      </c>
      <c r="B27" s="229">
        <f>IFERROR(VLOOKUP(A27,'School Tables'!$N$4:$O$100,2,FALSE),"")</f>
        <v>26990</v>
      </c>
      <c r="C27" s="222" t="str">
        <f>IFERROR(INDEX('School Tables'!$M$4:$M$100,MATCH('School Level Expenditures'!A27,'School Tables'!$N$4:$N$100,0)),"")</f>
        <v>Profile</v>
      </c>
      <c r="D27" s="219">
        <v>1856174.17</v>
      </c>
      <c r="E27" s="219">
        <v>133322.57999999999</v>
      </c>
      <c r="F27" s="231">
        <f t="shared" ref="F27:F33" si="6">D27+E27</f>
        <v>1989496.75</v>
      </c>
      <c r="G27" s="222"/>
      <c r="H27" s="222"/>
      <c r="J27" t="str">
        <f t="shared" ref="J27:J33" si="7">A27</f>
        <v>Profile Junior High School</v>
      </c>
      <c r="K27" s="20">
        <v>1112555.18</v>
      </c>
      <c r="L27" s="20">
        <v>170523.32</v>
      </c>
      <c r="M27" s="307">
        <v>99593.37</v>
      </c>
      <c r="N27" s="20">
        <v>182724.84</v>
      </c>
      <c r="O27" s="20">
        <v>686887.99</v>
      </c>
      <c r="P27" s="20">
        <v>73736.160000000003</v>
      </c>
      <c r="Q27" s="20">
        <v>2810.62</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1856174.17</v>
      </c>
      <c r="E34" s="261">
        <f>SUM(E26:E33)</f>
        <v>133322.57999999999</v>
      </c>
      <c r="F34" s="216"/>
      <c r="G34" s="216"/>
      <c r="H34" s="216"/>
      <c r="K34" s="262">
        <f t="shared" ref="K34:Q34" si="8">SUM(K26:K33)</f>
        <v>1112555.18</v>
      </c>
      <c r="L34" s="262">
        <f t="shared" si="8"/>
        <v>170523.32</v>
      </c>
      <c r="M34" s="262">
        <f t="shared" si="8"/>
        <v>99593.37</v>
      </c>
      <c r="N34" s="262">
        <f t="shared" si="8"/>
        <v>182724.84</v>
      </c>
      <c r="O34" s="262">
        <f t="shared" si="8"/>
        <v>686887.99</v>
      </c>
      <c r="P34" s="262">
        <f t="shared" si="8"/>
        <v>73736.160000000003</v>
      </c>
      <c r="Q34" s="262">
        <f t="shared" si="8"/>
        <v>2810.62</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2518984.7300000004</v>
      </c>
      <c r="L36" s="19">
        <f>'DOE25'!L239+'DOE25'!L320</f>
        <v>281069</v>
      </c>
      <c r="M36" s="19">
        <f>'DOE25'!L240+'DOE25'!L321</f>
        <v>176773.08000000002</v>
      </c>
      <c r="N36" s="19">
        <f>'DOE25'!L242+'DOE25'!L323</f>
        <v>326434.45</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4194130.7699999996</v>
      </c>
      <c r="G38" s="228">
        <f>'DOE25'!L248+'DOE25'!L329</f>
        <v>4194130.7700000005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149057.5</v>
      </c>
      <c r="E39" s="219"/>
      <c r="F39" s="231">
        <f t="shared" ref="F39:F44" si="10">D39+E39</f>
        <v>149057.5</v>
      </c>
      <c r="G39" s="222"/>
      <c r="H39" s="222"/>
      <c r="J39" s="71" t="s">
        <v>1840</v>
      </c>
      <c r="K39" s="315">
        <v>179839.56</v>
      </c>
      <c r="L39" s="315"/>
      <c r="M39" s="315"/>
      <c r="N39" s="315"/>
      <c r="O39" s="315"/>
      <c r="P39" s="315"/>
      <c r="Q39" s="315"/>
    </row>
    <row r="40" spans="1:17" x14ac:dyDescent="0.2">
      <c r="A40" t="str" cm="1">
        <f t="array" ref="A40">IFERROR(INDEX('School Tables'!$W$4:$AC$120,'School Tables'!$AF4,3),"")</f>
        <v>Profile Senior High School</v>
      </c>
      <c r="B40" s="229">
        <f>IFERROR(VLOOKUP(A40,'School Tables'!$Y$4:$Z$120,2,FALSE),"")</f>
        <v>21395</v>
      </c>
      <c r="C40" s="222" t="str">
        <f>IFERROR(INDEX('School Tables'!$X$4:$X$120,MATCH('School Level Expenditures'!A40,'School Tables'!$Y$4:$Y$120,0)),"")</f>
        <v>Profile</v>
      </c>
      <c r="D40" s="219">
        <v>3839683.51</v>
      </c>
      <c r="E40" s="219">
        <v>205389.76</v>
      </c>
      <c r="F40" s="231">
        <f t="shared" si="10"/>
        <v>4045073.2699999996</v>
      </c>
      <c r="G40" s="222"/>
      <c r="H40" s="222"/>
      <c r="J40" t="str">
        <f>A40</f>
        <v>Profile Senior High School</v>
      </c>
      <c r="K40" s="20">
        <f>2518984.73-179839.56</f>
        <v>2339145.17</v>
      </c>
      <c r="L40" s="20">
        <v>281069</v>
      </c>
      <c r="M40" s="307">
        <v>176773.08</v>
      </c>
      <c r="N40" s="20">
        <v>326434.45</v>
      </c>
      <c r="O40" s="20">
        <v>1275650.1200000001</v>
      </c>
      <c r="P40" s="20">
        <v>136938.57999999999</v>
      </c>
      <c r="Q40" s="20">
        <v>4893.26</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3988741.01</v>
      </c>
      <c r="E45" s="262">
        <f>SUM(E39:E44)</f>
        <v>205389.76</v>
      </c>
      <c r="K45" s="262">
        <f t="shared" ref="K45:Q45" si="11">SUM(K39:K44)</f>
        <v>2518984.73</v>
      </c>
      <c r="L45" s="262">
        <f t="shared" si="11"/>
        <v>281069</v>
      </c>
      <c r="M45" s="262">
        <f t="shared" si="11"/>
        <v>176773.08</v>
      </c>
      <c r="N45" s="262">
        <f t="shared" si="11"/>
        <v>326434.45</v>
      </c>
      <c r="O45" s="262">
        <f t="shared" si="11"/>
        <v>1275650.1200000001</v>
      </c>
      <c r="P45" s="262">
        <f t="shared" si="11"/>
        <v>136938.57999999999</v>
      </c>
      <c r="Q45" s="262">
        <f t="shared" si="11"/>
        <v>4893.26</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Profile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315720.09000000003</v>
      </c>
      <c r="D8" s="73">
        <f>'DOE25'!G9</f>
        <v>0</v>
      </c>
      <c r="E8" s="73">
        <f>'DOE25'!H9</f>
        <v>0</v>
      </c>
      <c r="F8" s="73">
        <f>'DOE25'!I9</f>
        <v>0</v>
      </c>
      <c r="G8" s="73">
        <f>'DOE25'!J9</f>
        <v>0</v>
      </c>
      <c r="H8" s="13">
        <f>SUM(C8:G8)</f>
        <v>315720.09000000003</v>
      </c>
      <c r="I8" s="90"/>
    </row>
    <row r="9" spans="1:9" x14ac:dyDescent="0.2">
      <c r="A9" s="1" t="s">
        <v>140</v>
      </c>
      <c r="B9" s="6">
        <v>110</v>
      </c>
      <c r="C9" s="73">
        <f>'DOE25'!F10</f>
        <v>0</v>
      </c>
      <c r="D9" s="73">
        <f>'DOE25'!G10</f>
        <v>0</v>
      </c>
      <c r="E9" s="73">
        <f>'DOE25'!H10</f>
        <v>0</v>
      </c>
      <c r="F9" s="73">
        <f>'DOE25'!I10</f>
        <v>0</v>
      </c>
      <c r="G9" s="73">
        <f>'DOE25'!J10</f>
        <v>488238.98</v>
      </c>
      <c r="H9" s="13">
        <f t="shared" ref="H9:H18" si="0">SUM(C9:G9)</f>
        <v>488238.98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14453.38</v>
      </c>
      <c r="D11" s="73">
        <f>'DOE25'!G12</f>
        <v>16955.919999999998</v>
      </c>
      <c r="E11" s="73" t="str">
        <f>'DOE25'!H12</f>
        <v xml:space="preserve"> </v>
      </c>
      <c r="F11" s="73">
        <f>'DOE25'!I12</f>
        <v>0</v>
      </c>
      <c r="G11" s="73">
        <f>'DOE25'!J12</f>
        <v>0</v>
      </c>
      <c r="H11" s="13">
        <f t="shared" si="0"/>
        <v>31409.299999999996</v>
      </c>
      <c r="I11" s="90"/>
    </row>
    <row r="12" spans="1:9" x14ac:dyDescent="0.2">
      <c r="A12" s="1" t="s">
        <v>143</v>
      </c>
      <c r="B12" s="6">
        <v>140</v>
      </c>
      <c r="C12" s="73">
        <f>'DOE25'!F13</f>
        <v>37131.840000000004</v>
      </c>
      <c r="D12" s="73">
        <f>'DOE25'!G13</f>
        <v>5228.54</v>
      </c>
      <c r="E12" s="73">
        <f>'DOE25'!H13</f>
        <v>78075.13</v>
      </c>
      <c r="F12" s="73">
        <f>'DOE25'!I13</f>
        <v>0</v>
      </c>
      <c r="G12" s="73">
        <f>'DOE25'!J13</f>
        <v>0</v>
      </c>
      <c r="H12" s="13">
        <f t="shared" si="0"/>
        <v>120435.51000000001</v>
      </c>
      <c r="I12" s="90"/>
    </row>
    <row r="13" spans="1:9" x14ac:dyDescent="0.2">
      <c r="A13" s="1" t="s">
        <v>144</v>
      </c>
      <c r="B13" s="6">
        <v>150</v>
      </c>
      <c r="C13" s="73">
        <f>'DOE25'!F14</f>
        <v>0</v>
      </c>
      <c r="D13" s="73">
        <f>'DOE25'!G14</f>
        <v>9384.5</v>
      </c>
      <c r="E13" s="73">
        <f>'DOE25'!H14</f>
        <v>0</v>
      </c>
      <c r="F13" s="73">
        <f>'DOE25'!I14</f>
        <v>0</v>
      </c>
      <c r="G13" s="73">
        <f>'DOE25'!J14</f>
        <v>0</v>
      </c>
      <c r="H13" s="13">
        <f t="shared" si="0"/>
        <v>9384.5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t="str">
        <f>'DOE25'!F16</f>
        <v xml:space="preserve"> </v>
      </c>
      <c r="D15" s="73">
        <f>'DOE25'!G16</f>
        <v>0</v>
      </c>
      <c r="E15" s="73">
        <f>'DOE25'!H16</f>
        <v>0</v>
      </c>
      <c r="F15" s="73">
        <f>'DOE25'!I16</f>
        <v>0</v>
      </c>
      <c r="G15" s="23" t="s">
        <v>288</v>
      </c>
      <c r="H15" s="13">
        <f t="shared" si="0"/>
        <v>0</v>
      </c>
      <c r="I15" s="90"/>
    </row>
    <row r="16" spans="1:9" x14ac:dyDescent="0.2">
      <c r="A16" s="1" t="s">
        <v>147</v>
      </c>
      <c r="B16" s="6">
        <v>180</v>
      </c>
      <c r="C16" s="73">
        <f>'DOE25'!F17</f>
        <v>-1201.3599999999999</v>
      </c>
      <c r="D16" s="73">
        <f>'DOE25'!G17</f>
        <v>0</v>
      </c>
      <c r="E16" s="73">
        <f>'DOE25'!H17</f>
        <v>0</v>
      </c>
      <c r="F16" s="73">
        <f>'DOE25'!I17</f>
        <v>0</v>
      </c>
      <c r="G16" s="73">
        <f>'DOE25'!J17</f>
        <v>0</v>
      </c>
      <c r="H16" s="13">
        <f t="shared" si="0"/>
        <v>-1201.3599999999999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366103.95000000007</v>
      </c>
      <c r="D18" s="38">
        <f>SUM(D8:D17)</f>
        <v>31568.959999999999</v>
      </c>
      <c r="E18" s="38">
        <f>SUM(E8:E17)</f>
        <v>78075.13</v>
      </c>
      <c r="F18" s="38">
        <f>SUM(F8:F17)</f>
        <v>0</v>
      </c>
      <c r="G18" s="38">
        <f>SUM(G8:G17)</f>
        <v>488238.98</v>
      </c>
      <c r="H18" s="38">
        <f t="shared" si="0"/>
        <v>963987.02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t="str">
        <f>'DOE25'!F22</f>
        <v xml:space="preserve"> </v>
      </c>
      <c r="D21" s="73">
        <f>'DOE25'!G22</f>
        <v>0</v>
      </c>
      <c r="E21" s="73">
        <f>'DOE25'!H22</f>
        <v>31410.21</v>
      </c>
      <c r="F21" s="73">
        <f>'DOE25'!I22</f>
        <v>0</v>
      </c>
      <c r="G21" s="73">
        <f>'DOE25'!J22</f>
        <v>0</v>
      </c>
      <c r="H21" s="13">
        <f t="shared" ref="H21:H31" si="1">SUM(C21:G21)</f>
        <v>31410.21</v>
      </c>
      <c r="I21" s="90"/>
    </row>
    <row r="22" spans="1:9" x14ac:dyDescent="0.2">
      <c r="A22" s="1" t="s">
        <v>151</v>
      </c>
      <c r="B22" s="6">
        <v>410</v>
      </c>
      <c r="C22" s="73">
        <f>'DOE25'!F23</f>
        <v>38818.519999999997</v>
      </c>
      <c r="D22" s="73">
        <f>'DOE25'!G23</f>
        <v>0</v>
      </c>
      <c r="E22" s="73">
        <f>'DOE25'!H23</f>
        <v>0</v>
      </c>
      <c r="F22" s="73">
        <f>'DOE25'!I23</f>
        <v>0</v>
      </c>
      <c r="G22" s="73">
        <f>'DOE25'!J23</f>
        <v>0</v>
      </c>
      <c r="H22" s="13">
        <f t="shared" si="1"/>
        <v>38818.519999999997</v>
      </c>
      <c r="I22" s="90"/>
    </row>
    <row r="23" spans="1:9" x14ac:dyDescent="0.2">
      <c r="A23" s="1" t="s">
        <v>152</v>
      </c>
      <c r="B23" s="6">
        <v>420</v>
      </c>
      <c r="C23" s="73">
        <f>'DOE25'!F24</f>
        <v>-1332.43</v>
      </c>
      <c r="D23" s="73">
        <f>'DOE25'!G24</f>
        <v>17138.36</v>
      </c>
      <c r="E23" s="73">
        <f>'DOE25'!H24</f>
        <v>2085.71</v>
      </c>
      <c r="F23" s="73">
        <f>'DOE25'!I24</f>
        <v>0</v>
      </c>
      <c r="G23" s="73">
        <f>'DOE25'!J24</f>
        <v>0</v>
      </c>
      <c r="H23" s="13">
        <f t="shared" si="1"/>
        <v>17891.64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t="str">
        <f>'DOE25'!F27</f>
        <v xml:space="preserve"> </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14430.6</v>
      </c>
      <c r="E29" s="73">
        <f>'DOE25'!H30</f>
        <v>5299.83</v>
      </c>
      <c r="F29" s="73">
        <f>'DOE25'!I30</f>
        <v>0</v>
      </c>
      <c r="G29" s="23" t="s">
        <v>288</v>
      </c>
      <c r="H29" s="13">
        <f t="shared" si="1"/>
        <v>19730.43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37486.089999999997</v>
      </c>
      <c r="D31" s="38">
        <f>SUM(D21:D30)</f>
        <v>31568.959999999999</v>
      </c>
      <c r="E31" s="38">
        <f>SUM(E21:E30)</f>
        <v>38795.75</v>
      </c>
      <c r="F31" s="38">
        <f>SUM(F21:F30)</f>
        <v>0</v>
      </c>
      <c r="G31" s="38">
        <f>SUM(G21:G30)</f>
        <v>0</v>
      </c>
      <c r="H31" s="38">
        <f t="shared" si="1"/>
        <v>107850.79999999999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39279.379999999997</v>
      </c>
      <c r="F42" s="73">
        <f>'DOE25'!I43</f>
        <v>0</v>
      </c>
      <c r="G42" s="73">
        <f>'DOE25'!J43</f>
        <v>488238.98</v>
      </c>
      <c r="H42" s="13">
        <f t="shared" si="2"/>
        <v>527518.36</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91989.79</v>
      </c>
      <c r="D44" s="73">
        <f>'DOE25'!G45</f>
        <v>0</v>
      </c>
      <c r="E44" s="73">
        <f>'DOE25'!H45</f>
        <v>0</v>
      </c>
      <c r="F44" s="73">
        <f>'DOE25'!I45</f>
        <v>0</v>
      </c>
      <c r="G44" s="73">
        <f>'DOE25'!J45</f>
        <v>0</v>
      </c>
      <c r="H44" s="13">
        <f t="shared" si="2"/>
        <v>91989.79</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t="str">
        <f>'DOE25'!H48</f>
        <v xml:space="preserve"> </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236628.07</v>
      </c>
      <c r="D49" s="23" t="s">
        <v>288</v>
      </c>
      <c r="E49" s="23" t="s">
        <v>288</v>
      </c>
      <c r="F49" s="23" t="s">
        <v>288</v>
      </c>
      <c r="G49" s="23" t="s">
        <v>288</v>
      </c>
      <c r="H49" s="13">
        <f t="shared" si="2"/>
        <v>236628.07</v>
      </c>
      <c r="I49" s="90"/>
    </row>
    <row r="50" spans="1:9" ht="12.75" thickTop="1" thickBot="1" x14ac:dyDescent="0.25">
      <c r="A50" s="35" t="s">
        <v>880</v>
      </c>
      <c r="B50" s="44"/>
      <c r="C50" s="38">
        <f>SUM(C34:C49)</f>
        <v>328617.86</v>
      </c>
      <c r="D50" s="38">
        <f>SUM(D34:D49)</f>
        <v>0</v>
      </c>
      <c r="E50" s="38">
        <f>SUM(E34:E49)</f>
        <v>39279.379999999997</v>
      </c>
      <c r="F50" s="38">
        <f>SUM(F34:F49)</f>
        <v>0</v>
      </c>
      <c r="G50" s="38">
        <f>SUM(G34:G49)</f>
        <v>488238.98</v>
      </c>
      <c r="H50" s="38">
        <f t="shared" si="2"/>
        <v>856136.22</v>
      </c>
      <c r="I50" s="90"/>
    </row>
    <row r="51" spans="1:9" ht="12" thickTop="1" x14ac:dyDescent="0.2">
      <c r="A51" s="35" t="s">
        <v>881</v>
      </c>
      <c r="B51" s="2"/>
      <c r="C51" s="38">
        <f>C50+C31</f>
        <v>366103.94999999995</v>
      </c>
      <c r="D51" s="38">
        <f>D50+D31</f>
        <v>31568.959999999999</v>
      </c>
      <c r="E51" s="38">
        <f>E50+E31</f>
        <v>78075.13</v>
      </c>
      <c r="F51" s="38">
        <f>F50+F31</f>
        <v>0</v>
      </c>
      <c r="G51" s="38">
        <f>G50+G31</f>
        <v>488238.98</v>
      </c>
      <c r="H51" s="38">
        <f t="shared" si="2"/>
        <v>963987.02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4620444</v>
      </c>
      <c r="D56" s="73">
        <f>'DOE25'!G60</f>
        <v>0</v>
      </c>
      <c r="E56" s="73">
        <f>'DOE25'!H60</f>
        <v>0</v>
      </c>
      <c r="F56" s="73">
        <f>'DOE25'!I60</f>
        <v>0</v>
      </c>
      <c r="G56" s="73">
        <f>'DOE25'!J60</f>
        <v>0</v>
      </c>
      <c r="H56" s="13">
        <f t="shared" ref="H56:H63" si="3">SUM(C56:G56)</f>
        <v>4620444</v>
      </c>
      <c r="I56"/>
    </row>
    <row r="57" spans="1:9" x14ac:dyDescent="0.2">
      <c r="A57" s="1" t="s">
        <v>164</v>
      </c>
      <c r="B57" s="6" t="s">
        <v>165</v>
      </c>
      <c r="C57" s="73">
        <f>'DOE25'!F79</f>
        <v>176070</v>
      </c>
      <c r="D57" s="23" t="s">
        <v>288</v>
      </c>
      <c r="E57" s="73">
        <f>'DOE25'!H79</f>
        <v>0</v>
      </c>
      <c r="F57" s="23" t="s">
        <v>288</v>
      </c>
      <c r="G57" s="23" t="s">
        <v>288</v>
      </c>
      <c r="H57" s="13">
        <f t="shared" si="3"/>
        <v>176070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347.5</v>
      </c>
      <c r="D59" s="73">
        <f>'DOE25'!G96</f>
        <v>0</v>
      </c>
      <c r="E59" s="73">
        <f>'DOE25'!H96</f>
        <v>0</v>
      </c>
      <c r="F59" s="73">
        <f>'DOE25'!I96</f>
        <v>0</v>
      </c>
      <c r="G59" s="73">
        <f>'DOE25'!J96</f>
        <v>12995.2</v>
      </c>
      <c r="H59" s="13">
        <f t="shared" si="3"/>
        <v>13342.7</v>
      </c>
      <c r="I59"/>
    </row>
    <row r="60" spans="1:9" x14ac:dyDescent="0.2">
      <c r="A60" s="1" t="s">
        <v>170</v>
      </c>
      <c r="B60" s="22" t="s">
        <v>171</v>
      </c>
      <c r="C60" s="23" t="s">
        <v>288</v>
      </c>
      <c r="D60" s="73">
        <f>'DOE25'!G97</f>
        <v>79571.89</v>
      </c>
      <c r="E60" s="23" t="s">
        <v>288</v>
      </c>
      <c r="F60" s="23" t="s">
        <v>288</v>
      </c>
      <c r="G60" s="23" t="s">
        <v>288</v>
      </c>
      <c r="H60" s="13">
        <f t="shared" si="3"/>
        <v>79571.89</v>
      </c>
      <c r="I60"/>
    </row>
    <row r="61" spans="1:9" ht="12" thickBot="1" x14ac:dyDescent="0.25">
      <c r="A61" s="1" t="s">
        <v>172</v>
      </c>
      <c r="B61" s="22" t="s">
        <v>173</v>
      </c>
      <c r="C61" s="73">
        <f>SUM('DOE25'!F98:F110)</f>
        <v>9067.25</v>
      </c>
      <c r="D61" s="73">
        <f>SUM('DOE25'!G98:G110)</f>
        <v>0</v>
      </c>
      <c r="E61" s="73">
        <f>SUM('DOE25'!H98:H110)</f>
        <v>114542.01000000001</v>
      </c>
      <c r="F61" s="73">
        <f>SUM('DOE25'!I98:I110)</f>
        <v>0</v>
      </c>
      <c r="G61" s="73">
        <f>SUM('DOE25'!J98:J110)</f>
        <v>0</v>
      </c>
      <c r="H61" s="13">
        <f t="shared" si="3"/>
        <v>123609.26000000001</v>
      </c>
      <c r="I61"/>
    </row>
    <row r="62" spans="1:9" ht="12.75" thickTop="1" thickBot="1" x14ac:dyDescent="0.25">
      <c r="A62" s="28" t="s">
        <v>174</v>
      </c>
      <c r="B62" s="6"/>
      <c r="C62" s="93">
        <f>SUM(C57:C61)</f>
        <v>185484.75</v>
      </c>
      <c r="D62" s="93">
        <f>SUM(D57:D61)</f>
        <v>79571.89</v>
      </c>
      <c r="E62" s="93">
        <f>SUM(E57:E61)</f>
        <v>114542.01000000001</v>
      </c>
      <c r="F62" s="93">
        <f>SUM(F57:F61)</f>
        <v>0</v>
      </c>
      <c r="G62" s="93">
        <f>SUM(G57:G61)</f>
        <v>12995.2</v>
      </c>
      <c r="H62" s="13">
        <f t="shared" si="3"/>
        <v>392593.85000000003</v>
      </c>
      <c r="I62"/>
    </row>
    <row r="63" spans="1:9" ht="12" thickTop="1" x14ac:dyDescent="0.2">
      <c r="A63" s="28" t="s">
        <v>175</v>
      </c>
      <c r="B63" s="6"/>
      <c r="C63" s="21">
        <f>C56+C62</f>
        <v>4805928.75</v>
      </c>
      <c r="D63" s="21">
        <f>D56+D62</f>
        <v>79571.89</v>
      </c>
      <c r="E63" s="21">
        <f>E56+E62</f>
        <v>114542.01000000001</v>
      </c>
      <c r="F63" s="21">
        <f>F56+F62</f>
        <v>0</v>
      </c>
      <c r="G63" s="21">
        <f>G56+G62</f>
        <v>12995.2</v>
      </c>
      <c r="H63" s="13">
        <f t="shared" si="3"/>
        <v>5013037.8499999996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561463.43999999994</v>
      </c>
      <c r="D66" s="23" t="s">
        <v>288</v>
      </c>
      <c r="E66" s="23" t="s">
        <v>288</v>
      </c>
      <c r="F66" s="23" t="s">
        <v>288</v>
      </c>
      <c r="G66" s="23" t="s">
        <v>288</v>
      </c>
      <c r="H66" s="13">
        <f t="shared" ref="H66:H81" si="4">SUM(C66:G66)</f>
        <v>561463.43999999994</v>
      </c>
      <c r="I66"/>
    </row>
    <row r="67" spans="1:9" x14ac:dyDescent="0.2">
      <c r="A67" s="1" t="s">
        <v>767</v>
      </c>
      <c r="B67" s="6">
        <v>3112</v>
      </c>
      <c r="C67" s="73">
        <f>'DOE25'!F118</f>
        <v>835233</v>
      </c>
      <c r="D67" s="23"/>
      <c r="E67" s="23"/>
      <c r="F67" s="23"/>
      <c r="G67" s="23"/>
      <c r="H67" s="13">
        <f t="shared" si="4"/>
        <v>835233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2470.5500000000002</v>
      </c>
      <c r="D69" s="73">
        <f>'DOE25'!G120</f>
        <v>0</v>
      </c>
      <c r="E69" s="73">
        <f>'DOE25'!H120</f>
        <v>0</v>
      </c>
      <c r="F69" s="73">
        <f>'DOE25'!I120</f>
        <v>0</v>
      </c>
      <c r="G69" s="73">
        <f>'DOE25'!J120</f>
        <v>0</v>
      </c>
      <c r="H69" s="13">
        <f t="shared" si="4"/>
        <v>2470.5500000000002</v>
      </c>
      <c r="I69"/>
    </row>
    <row r="70" spans="1:9" ht="12" thickTop="1" x14ac:dyDescent="0.2">
      <c r="A70" s="28" t="s">
        <v>252</v>
      </c>
      <c r="B70" s="2"/>
      <c r="C70" s="97">
        <f>SUM(C66:C69)</f>
        <v>1399166.99</v>
      </c>
      <c r="D70" s="97">
        <f>D69</f>
        <v>0</v>
      </c>
      <c r="E70" s="97">
        <f>E69</f>
        <v>0</v>
      </c>
      <c r="F70" s="97">
        <f>F69</f>
        <v>0</v>
      </c>
      <c r="G70" s="97">
        <f>G69</f>
        <v>0</v>
      </c>
      <c r="H70" s="13">
        <f t="shared" si="4"/>
        <v>1399166.99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366886.36</v>
      </c>
      <c r="D72" s="23" t="s">
        <v>288</v>
      </c>
      <c r="E72" s="23" t="s">
        <v>288</v>
      </c>
      <c r="F72" s="73">
        <f>'DOE25'!I123</f>
        <v>0</v>
      </c>
      <c r="G72" s="23" t="s">
        <v>288</v>
      </c>
      <c r="H72" s="13">
        <f t="shared" si="4"/>
        <v>366886.36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t="str">
        <f>'DOE25'!F126</f>
        <v xml:space="preserve"> </v>
      </c>
      <c r="D75" s="23" t="s">
        <v>288</v>
      </c>
      <c r="E75" s="23" t="s">
        <v>288</v>
      </c>
      <c r="F75" s="23" t="s">
        <v>288</v>
      </c>
      <c r="G75" s="23" t="s">
        <v>288</v>
      </c>
      <c r="H75" s="13">
        <f t="shared" si="4"/>
        <v>0</v>
      </c>
      <c r="I75"/>
    </row>
    <row r="76" spans="1:9" x14ac:dyDescent="0.2">
      <c r="A76" s="1" t="s">
        <v>257</v>
      </c>
      <c r="B76" s="6" t="s">
        <v>179</v>
      </c>
      <c r="C76" s="73">
        <f>SUM('DOE25'!F127:F130)</f>
        <v>1647</v>
      </c>
      <c r="D76" s="23" t="s">
        <v>288</v>
      </c>
      <c r="E76" s="73">
        <f>SUM('DOE25'!H127:H130)</f>
        <v>0</v>
      </c>
      <c r="F76" s="73">
        <f>SUM('DOE25'!I127:I130)</f>
        <v>0</v>
      </c>
      <c r="G76" s="23" t="s">
        <v>288</v>
      </c>
      <c r="H76" s="13">
        <f t="shared" si="4"/>
        <v>1647</v>
      </c>
      <c r="I76"/>
    </row>
    <row r="77" spans="1:9" ht="12" thickBot="1" x14ac:dyDescent="0.25">
      <c r="A77" s="1" t="s">
        <v>258</v>
      </c>
      <c r="B77" s="6" t="s">
        <v>180</v>
      </c>
      <c r="C77" s="73">
        <f>SUM('DOE25'!F131:F135)</f>
        <v>0</v>
      </c>
      <c r="D77" s="73">
        <f>SUM('DOE25'!G131:G135)</f>
        <v>1215.44</v>
      </c>
      <c r="E77" s="73">
        <f>SUM('DOE25'!H131:H135)</f>
        <v>0</v>
      </c>
      <c r="F77" s="73">
        <f>SUM('DOE25'!I131:I135)</f>
        <v>0</v>
      </c>
      <c r="G77" s="73">
        <f>SUM('DOE25'!J131:J135)</f>
        <v>0</v>
      </c>
      <c r="H77" s="13">
        <f t="shared" si="4"/>
        <v>1215.44</v>
      </c>
      <c r="I77"/>
    </row>
    <row r="78" spans="1:9" ht="12.75" thickTop="1" thickBot="1" x14ac:dyDescent="0.25">
      <c r="A78" s="28" t="s">
        <v>259</v>
      </c>
      <c r="B78" s="6"/>
      <c r="C78" s="93">
        <f>SUM(C72:C77)</f>
        <v>368533.36</v>
      </c>
      <c r="D78" s="93">
        <f>SUM(D72:D77)</f>
        <v>1215.44</v>
      </c>
      <c r="E78" s="93">
        <f>SUM(E72:E77)</f>
        <v>0</v>
      </c>
      <c r="F78" s="93">
        <f>SUM(F72:F77)</f>
        <v>0</v>
      </c>
      <c r="G78" s="93">
        <f>SUM(G72:G77)</f>
        <v>0</v>
      </c>
      <c r="H78" s="13">
        <f t="shared" si="4"/>
        <v>369748.8</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1767700.35</v>
      </c>
      <c r="D81" s="93">
        <f>SUM(D79:D80)+D78+D70</f>
        <v>1215.44</v>
      </c>
      <c r="E81" s="93">
        <f>SUM(E79:E80)+E78+E70</f>
        <v>0</v>
      </c>
      <c r="F81" s="93">
        <f>SUM(F79:F80)+F78+F70</f>
        <v>0</v>
      </c>
      <c r="G81" s="93">
        <f>SUM(G79:G80)+G78+G70</f>
        <v>0</v>
      </c>
      <c r="H81" s="93">
        <f t="shared" si="4"/>
        <v>1768915.79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12950</v>
      </c>
      <c r="F87" s="73">
        <f>SUM('DOE25'!I149:I152)</f>
        <v>0</v>
      </c>
      <c r="G87" s="23" t="s">
        <v>288</v>
      </c>
      <c r="H87" s="13">
        <f t="shared" si="5"/>
        <v>12950</v>
      </c>
    </row>
    <row r="88" spans="1:9" x14ac:dyDescent="0.2">
      <c r="A88" s="216" t="s">
        <v>744</v>
      </c>
      <c r="B88" s="230" t="s">
        <v>184</v>
      </c>
      <c r="C88" s="252">
        <f>SUM('DOE25'!F153:F162)</f>
        <v>0</v>
      </c>
      <c r="D88" s="252">
        <f>SUM('DOE25'!G153:G162)</f>
        <v>28862.34</v>
      </c>
      <c r="E88" s="252">
        <f>SUM('DOE25'!H153:H162)</f>
        <v>330935.73</v>
      </c>
      <c r="F88" s="252">
        <f>SUM('DOE25'!I153:I162)</f>
        <v>0</v>
      </c>
      <c r="G88" s="23" t="s">
        <v>288</v>
      </c>
      <c r="H88" s="13">
        <f t="shared" si="5"/>
        <v>359798.07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520.87</v>
      </c>
      <c r="D90" s="23" t="s">
        <v>288</v>
      </c>
      <c r="E90" s="23" t="s">
        <v>288</v>
      </c>
      <c r="F90" s="23" t="s">
        <v>288</v>
      </c>
      <c r="G90" s="23" t="s">
        <v>288</v>
      </c>
      <c r="H90" s="13">
        <f t="shared" si="5"/>
        <v>520.87</v>
      </c>
    </row>
    <row r="91" spans="1:9" ht="12.75" thickTop="1" thickBot="1" x14ac:dyDescent="0.25">
      <c r="A91" s="32" t="s">
        <v>747</v>
      </c>
      <c r="C91" s="94">
        <f>SUM(C85:C90)</f>
        <v>520.87</v>
      </c>
      <c r="D91" s="94">
        <f>SUM(D85:D90)</f>
        <v>28862.34</v>
      </c>
      <c r="E91" s="94">
        <f>SUM(E85:E90)</f>
        <v>343885.73</v>
      </c>
      <c r="F91" s="94">
        <f>SUM(F85:F90)</f>
        <v>0</v>
      </c>
      <c r="G91" s="23" t="s">
        <v>288</v>
      </c>
      <c r="H91" s="13">
        <f t="shared" si="5"/>
        <v>373268.94</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24869.22</v>
      </c>
      <c r="E96" s="73">
        <f>'DOE25'!H180</f>
        <v>0</v>
      </c>
      <c r="F96" s="73">
        <f>'DOE25'!I180</f>
        <v>0</v>
      </c>
      <c r="G96" s="73">
        <f>'DOE25'!J180</f>
        <v>0</v>
      </c>
      <c r="H96" s="13">
        <f t="shared" si="5"/>
        <v>24869.22</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24869.22</v>
      </c>
      <c r="E103" s="68">
        <f>SUM(E93:E102)</f>
        <v>0</v>
      </c>
      <c r="F103" s="68">
        <f>SUM(F93:F102)</f>
        <v>0</v>
      </c>
      <c r="G103" s="68">
        <f>SUM(G93:G102)</f>
        <v>0</v>
      </c>
      <c r="H103" s="68">
        <f t="shared" si="5"/>
        <v>24869.22</v>
      </c>
    </row>
    <row r="104" spans="1:8" ht="12.75" thickTop="1" thickBot="1" x14ac:dyDescent="0.25">
      <c r="A104" s="32" t="s">
        <v>758</v>
      </c>
      <c r="C104" s="68">
        <f>C63+C81+C91+C103</f>
        <v>6574149.9699999997</v>
      </c>
      <c r="D104" s="68">
        <f>D63+D81+D91+D103</f>
        <v>134518.89000000001</v>
      </c>
      <c r="E104" s="68">
        <f>E63+E81+E91+E103</f>
        <v>458427.74</v>
      </c>
      <c r="F104" s="68">
        <f>F63+F81+F91+F103</f>
        <v>0</v>
      </c>
      <c r="G104" s="68">
        <f>G63+G81+G103</f>
        <v>12995.2</v>
      </c>
      <c r="H104" s="68">
        <f t="shared" si="5"/>
        <v>7180091.7999999998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2385201.2400000002</v>
      </c>
      <c r="D109" s="23" t="s">
        <v>288</v>
      </c>
      <c r="E109" s="73">
        <f>('DOE25'!L277)+('DOE25'!L296)+('DOE25'!L315)</f>
        <v>116822.27</v>
      </c>
      <c r="F109" s="23" t="s">
        <v>288</v>
      </c>
      <c r="G109" s="23" t="s">
        <v>288</v>
      </c>
      <c r="H109" s="13">
        <f t="shared" ref="H109:H115" si="6">SUM(C109:G109)</f>
        <v>2502023.5100000002</v>
      </c>
    </row>
    <row r="110" spans="1:8" x14ac:dyDescent="0.2">
      <c r="A110" t="s">
        <v>198</v>
      </c>
      <c r="B110" s="31" t="s">
        <v>199</v>
      </c>
      <c r="C110" s="73">
        <f>('DOE25'!L199)+('DOE25'!L217)+('DOE25'!L235)</f>
        <v>599380.31000000006</v>
      </c>
      <c r="D110" s="23" t="s">
        <v>288</v>
      </c>
      <c r="E110" s="73">
        <f>('DOE25'!L278)+('DOE25'!L297)+('DOE25'!L316)</f>
        <v>79246.429999999993</v>
      </c>
      <c r="F110" s="23" t="s">
        <v>288</v>
      </c>
      <c r="G110" s="23" t="s">
        <v>288</v>
      </c>
      <c r="H110" s="13">
        <f t="shared" si="6"/>
        <v>678626.74</v>
      </c>
    </row>
    <row r="111" spans="1:8" x14ac:dyDescent="0.2">
      <c r="A111" t="s">
        <v>200</v>
      </c>
      <c r="B111" s="31" t="s">
        <v>165</v>
      </c>
      <c r="C111" s="73">
        <f>('DOE25'!L200)+('DOE25'!L218)+('DOE25'!L236)</f>
        <v>242325.16000000003</v>
      </c>
      <c r="D111" s="23" t="s">
        <v>288</v>
      </c>
      <c r="E111" s="73">
        <f>('DOE25'!L279)+('DOE25'!L298)+('DOE25'!L317)</f>
        <v>0</v>
      </c>
      <c r="F111" s="23" t="s">
        <v>288</v>
      </c>
      <c r="G111" s="23" t="s">
        <v>288</v>
      </c>
      <c r="H111" s="13">
        <f t="shared" si="6"/>
        <v>242325.16000000003</v>
      </c>
    </row>
    <row r="112" spans="1:8" x14ac:dyDescent="0.2">
      <c r="A112" t="s">
        <v>201</v>
      </c>
      <c r="B112" s="31" t="s">
        <v>167</v>
      </c>
      <c r="C112" s="73">
        <f>('DOE25'!L201)+('DOE25'!L219)+('DOE25'!L237)</f>
        <v>207564.5</v>
      </c>
      <c r="D112" s="23" t="s">
        <v>288</v>
      </c>
      <c r="E112" s="73">
        <f>+('DOE25'!L280)+('DOE25'!L299)+('DOE25'!L318)</f>
        <v>1000</v>
      </c>
      <c r="F112" s="23" t="s">
        <v>288</v>
      </c>
      <c r="G112" s="23" t="s">
        <v>288</v>
      </c>
      <c r="H112" s="13">
        <f t="shared" si="6"/>
        <v>208564.5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3434471.2100000004</v>
      </c>
      <c r="D115" s="68">
        <f>SUM(D109:D114)</f>
        <v>0</v>
      </c>
      <c r="E115" s="68">
        <f>SUM(E109:E114)</f>
        <v>197068.7</v>
      </c>
      <c r="F115" s="68">
        <f>SUM(F109:F114)</f>
        <v>0</v>
      </c>
      <c r="G115" s="68">
        <f>SUM(G109:G114)</f>
        <v>0</v>
      </c>
      <c r="H115" s="68">
        <f t="shared" si="6"/>
        <v>3631539.9100000006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391289.63</v>
      </c>
      <c r="D118" s="23" t="s">
        <v>288</v>
      </c>
      <c r="E118" s="73">
        <f>+('DOE25'!L282)+('DOE25'!L301)+('DOE25'!L320)</f>
        <v>60302.689999999995</v>
      </c>
      <c r="F118" s="23" t="s">
        <v>288</v>
      </c>
      <c r="G118" s="23" t="s">
        <v>288</v>
      </c>
      <c r="H118" s="13">
        <f t="shared" ref="H118:H145" si="7">SUM(C118:G118)</f>
        <v>451592.32</v>
      </c>
    </row>
    <row r="119" spans="1:8" x14ac:dyDescent="0.2">
      <c r="A119" t="s">
        <v>208</v>
      </c>
      <c r="B119" s="31" t="s">
        <v>209</v>
      </c>
      <c r="C119" s="73">
        <f>('DOE25'!L204)+('DOE25'!L222)+('DOE25'!L240)</f>
        <v>265012.32</v>
      </c>
      <c r="D119" s="23" t="s">
        <v>288</v>
      </c>
      <c r="E119" s="73">
        <f>+('DOE25'!L283)+('DOE25'!L302)+('DOE25'!L321)</f>
        <v>11354.130000000001</v>
      </c>
      <c r="F119" s="23" t="s">
        <v>288</v>
      </c>
      <c r="G119" s="23" t="s">
        <v>288</v>
      </c>
      <c r="H119" s="13">
        <f t="shared" si="7"/>
        <v>276366.45</v>
      </c>
    </row>
    <row r="120" spans="1:8" x14ac:dyDescent="0.2">
      <c r="A120" t="s">
        <v>210</v>
      </c>
      <c r="B120" s="31" t="s">
        <v>211</v>
      </c>
      <c r="C120" s="73">
        <f>('DOE25'!L205)+('DOE25'!L223)+('DOE25'!L241)</f>
        <v>433555.43000000005</v>
      </c>
      <c r="D120" s="23" t="s">
        <v>288</v>
      </c>
      <c r="E120" s="73">
        <f>+('DOE25'!L284)+('DOE25'!L303)+('DOE25'!L322)</f>
        <v>12182.970000000001</v>
      </c>
      <c r="F120" s="23" t="s">
        <v>288</v>
      </c>
      <c r="G120" s="23" t="s">
        <v>288</v>
      </c>
      <c r="H120" s="13">
        <f t="shared" si="7"/>
        <v>445738.4</v>
      </c>
    </row>
    <row r="121" spans="1:8" x14ac:dyDescent="0.2">
      <c r="A121" t="s">
        <v>212</v>
      </c>
      <c r="B121" s="31" t="s">
        <v>213</v>
      </c>
      <c r="C121" s="73">
        <f>('DOE25'!L206)+('DOE25'!L224)+('DOE25'!L242)</f>
        <v>509159.29000000004</v>
      </c>
      <c r="D121" s="23" t="s">
        <v>288</v>
      </c>
      <c r="E121" s="73">
        <f>+('DOE25'!L285)+('DOE25'!L304)+('DOE25'!L323)</f>
        <v>0</v>
      </c>
      <c r="F121" s="23" t="s">
        <v>288</v>
      </c>
      <c r="G121" s="23" t="s">
        <v>288</v>
      </c>
      <c r="H121" s="13">
        <f t="shared" si="7"/>
        <v>509159.29000000004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526792.64999999991</v>
      </c>
      <c r="D123" s="23" t="s">
        <v>288</v>
      </c>
      <c r="E123" s="73">
        <f>+('DOE25'!L287)+('DOE25'!L306)+('DOE25'!L325)</f>
        <v>26807.190000000002</v>
      </c>
      <c r="F123" s="23" t="s">
        <v>288</v>
      </c>
      <c r="G123" s="23" t="s">
        <v>288</v>
      </c>
      <c r="H123" s="13">
        <f t="shared" si="7"/>
        <v>553599.83999999985</v>
      </c>
    </row>
    <row r="124" spans="1:8" x14ac:dyDescent="0.2">
      <c r="A124" t="s">
        <v>218</v>
      </c>
      <c r="B124" s="31" t="s">
        <v>219</v>
      </c>
      <c r="C124" s="73">
        <f>('DOE25'!L209)+('DOE25'!L227)+('DOE25'!L245+'DOE25'!L255)</f>
        <v>115727.41999999998</v>
      </c>
      <c r="D124" s="23" t="s">
        <v>288</v>
      </c>
      <c r="E124" s="73">
        <f>+('DOE25'!L288)+('DOE25'!L307)+('DOE25'!L326)</f>
        <v>38570.050000000003</v>
      </c>
      <c r="F124" s="23" t="s">
        <v>288</v>
      </c>
      <c r="G124" s="23" t="s">
        <v>288</v>
      </c>
      <c r="H124" s="13">
        <f t="shared" si="7"/>
        <v>154297.46999999997</v>
      </c>
    </row>
    <row r="125" spans="1:8" x14ac:dyDescent="0.2">
      <c r="A125" t="s">
        <v>220</v>
      </c>
      <c r="B125" s="31" t="s">
        <v>221</v>
      </c>
      <c r="C125" s="73">
        <f>('DOE25'!L210)+('DOE25'!L228)+('DOE25'!L246)</f>
        <v>52141.919999999998</v>
      </c>
      <c r="D125" s="23" t="s">
        <v>288</v>
      </c>
      <c r="E125" s="73">
        <f>+('DOE25'!L289)+('DOE25'!L308)+('DOE25'!L327)</f>
        <v>109191.92</v>
      </c>
      <c r="F125" s="23" t="s">
        <v>288</v>
      </c>
      <c r="G125" s="23" t="s">
        <v>288</v>
      </c>
      <c r="H125" s="13">
        <f t="shared" si="7"/>
        <v>161333.84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134518.89000000001</v>
      </c>
      <c r="E127" s="23" t="s">
        <v>288</v>
      </c>
      <c r="F127" s="23" t="s">
        <v>288</v>
      </c>
      <c r="G127" s="23" t="s">
        <v>288</v>
      </c>
      <c r="H127" s="13">
        <f t="shared" si="7"/>
        <v>134518.89000000001</v>
      </c>
    </row>
    <row r="128" spans="1:8" ht="12.75" thickTop="1" thickBot="1" x14ac:dyDescent="0.25">
      <c r="A128" s="32" t="s">
        <v>226</v>
      </c>
      <c r="C128" s="68">
        <f>SUM(C118:C127)</f>
        <v>2293678.6599999997</v>
      </c>
      <c r="D128" s="68">
        <f>SUM(D118:D127)</f>
        <v>134518.89000000001</v>
      </c>
      <c r="E128" s="68">
        <f>SUM(E118:E127)</f>
        <v>258408.95</v>
      </c>
      <c r="F128" s="68">
        <f>SUM(F118:F127)</f>
        <v>0</v>
      </c>
      <c r="G128" s="68">
        <f>SUM(G118:G127)</f>
        <v>0</v>
      </c>
      <c r="H128" s="68">
        <f t="shared" si="7"/>
        <v>2686606.5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645000</v>
      </c>
      <c r="D131" s="23" t="s">
        <v>288</v>
      </c>
      <c r="E131" s="92">
        <f>'DOE25'!L342</f>
        <v>0</v>
      </c>
      <c r="F131" s="23" t="s">
        <v>288</v>
      </c>
      <c r="G131" s="23" t="s">
        <v>288</v>
      </c>
      <c r="H131" s="13">
        <f t="shared" si="7"/>
        <v>645000</v>
      </c>
    </row>
    <row r="132" spans="1:8" x14ac:dyDescent="0.2">
      <c r="A132" t="s">
        <v>230</v>
      </c>
      <c r="B132" s="31">
        <v>5120</v>
      </c>
      <c r="C132" s="73">
        <f>'DOE25'!L262</f>
        <v>66006.259999999995</v>
      </c>
      <c r="D132" s="23" t="s">
        <v>288</v>
      </c>
      <c r="E132" s="92">
        <f>'DOE25'!L343</f>
        <v>0</v>
      </c>
      <c r="F132" s="23" t="s">
        <v>288</v>
      </c>
      <c r="G132" s="23" t="s">
        <v>288</v>
      </c>
      <c r="H132" s="13">
        <f t="shared" si="7"/>
        <v>66006.259999999995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24869.22</v>
      </c>
      <c r="D135" s="23" t="s">
        <v>288</v>
      </c>
      <c r="E135" s="92">
        <f>'DOE25'!L346</f>
        <v>0</v>
      </c>
      <c r="F135" s="23" t="s">
        <v>288</v>
      </c>
      <c r="G135" s="23" t="s">
        <v>288</v>
      </c>
      <c r="H135" s="13">
        <f t="shared" si="7"/>
        <v>24869.22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12995.2</v>
      </c>
      <c r="D139" s="23" t="s">
        <v>288</v>
      </c>
      <c r="E139" s="23" t="s">
        <v>288</v>
      </c>
      <c r="F139" s="23" t="s">
        <v>288</v>
      </c>
      <c r="G139" s="23" t="s">
        <v>288</v>
      </c>
      <c r="H139" s="13">
        <f t="shared" si="7"/>
        <v>12995.2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-12995.2</v>
      </c>
      <c r="D141" s="23" t="s">
        <v>288</v>
      </c>
      <c r="E141" s="23" t="s">
        <v>288</v>
      </c>
      <c r="F141" s="23" t="s">
        <v>288</v>
      </c>
      <c r="G141" s="23" t="s">
        <v>288</v>
      </c>
      <c r="H141" s="13">
        <f t="shared" si="7"/>
        <v>-12995.2</v>
      </c>
    </row>
    <row r="142" spans="1:8" x14ac:dyDescent="0.2">
      <c r="A142" t="s">
        <v>241</v>
      </c>
      <c r="B142" s="31">
        <v>5310</v>
      </c>
      <c r="C142" s="92">
        <f>'DOE25'!L269</f>
        <v>6628.12</v>
      </c>
      <c r="D142" s="23" t="s">
        <v>288</v>
      </c>
      <c r="E142" s="92">
        <f>'DOE25'!L350</f>
        <v>0</v>
      </c>
      <c r="F142" s="23" t="s">
        <v>288</v>
      </c>
      <c r="G142" s="23" t="s">
        <v>288</v>
      </c>
      <c r="H142" s="13">
        <f t="shared" si="7"/>
        <v>6628.12</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742503.6</v>
      </c>
      <c r="D144" s="98">
        <f>SUM(D130:D143)</f>
        <v>0</v>
      </c>
      <c r="E144" s="98">
        <f>SUM(E130:E143)</f>
        <v>0</v>
      </c>
      <c r="F144" s="98">
        <f>SUM(F130:F143)</f>
        <v>0</v>
      </c>
      <c r="G144" s="98">
        <f>SUM(G130:G143)</f>
        <v>0</v>
      </c>
      <c r="H144" s="98">
        <f t="shared" si="7"/>
        <v>742503.6</v>
      </c>
    </row>
    <row r="145" spans="1:9" ht="12.75" thickTop="1" thickBot="1" x14ac:dyDescent="0.25">
      <c r="A145" s="32" t="s">
        <v>244</v>
      </c>
      <c r="C145" s="68">
        <f>(C115+C128+C144)</f>
        <v>6470653.4699999997</v>
      </c>
      <c r="D145" s="68">
        <f>(D115+D128+D144)</f>
        <v>134518.89000000001</v>
      </c>
      <c r="E145" s="68">
        <f>(E115+E128+E144)</f>
        <v>455477.65</v>
      </c>
      <c r="F145" s="68">
        <f>(F115+F128+F144)</f>
        <v>0</v>
      </c>
      <c r="G145" s="68">
        <f>(G115+G128+G144)</f>
        <v>0</v>
      </c>
      <c r="H145" s="68">
        <f t="shared" si="7"/>
        <v>7060650.0099999998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Profile</v>
      </c>
    </row>
    <row r="3" spans="1:4" x14ac:dyDescent="0.2">
      <c r="B3" s="136" t="s">
        <v>1792</v>
      </c>
    </row>
    <row r="4" spans="1:4" x14ac:dyDescent="0.2">
      <c r="B4" t="s">
        <v>61</v>
      </c>
      <c r="C4" s="128">
        <f>IF('DOE25'!F666+'DOE25'!F671=0,0,ROUND('DOE25'!F673,0))</f>
        <v>0</v>
      </c>
    </row>
    <row r="5" spans="1:4" x14ac:dyDescent="0.2">
      <c r="B5" t="s">
        <v>700</v>
      </c>
      <c r="C5" s="128">
        <f>IF('DOE25'!G666+'DOE25'!G671=0,0,ROUND('DOE25'!G673,0))</f>
        <v>27642</v>
      </c>
    </row>
    <row r="6" spans="1:4" x14ac:dyDescent="0.2">
      <c r="B6" t="s">
        <v>62</v>
      </c>
      <c r="C6" s="128">
        <f>IF('DOE25'!H666+'DOE25'!H671=0,0,ROUND('DOE25'!H673,0))</f>
        <v>28760</v>
      </c>
    </row>
    <row r="7" spans="1:4" x14ac:dyDescent="0.2">
      <c r="B7" t="s">
        <v>701</v>
      </c>
      <c r="C7" s="128">
        <f>IF('DOE25'!I666+'DOE25'!I671=0,0,ROUND('DOE25'!I673,0))</f>
        <v>28382</v>
      </c>
    </row>
    <row r="9" spans="1:4" x14ac:dyDescent="0.2">
      <c r="A9" s="135" t="s">
        <v>94</v>
      </c>
      <c r="B9" s="136" t="s">
        <v>1793</v>
      </c>
      <c r="C9" s="130" t="s">
        <v>720</v>
      </c>
      <c r="D9" s="130" t="s">
        <v>721</v>
      </c>
    </row>
    <row r="10" spans="1:4" x14ac:dyDescent="0.2">
      <c r="A10">
        <v>1100</v>
      </c>
      <c r="B10" t="s">
        <v>702</v>
      </c>
      <c r="C10" s="128">
        <f>ROUND('DOE25'!L198+'DOE25'!L216+'DOE25'!L234+'DOE25'!L277+'DOE25'!L296+'DOE25'!L315,0)</f>
        <v>2502024</v>
      </c>
      <c r="D10" s="131">
        <f>ROUND((C10/$C$28)*100,1)</f>
        <v>39.6</v>
      </c>
    </row>
    <row r="11" spans="1:4" x14ac:dyDescent="0.2">
      <c r="A11">
        <v>1200</v>
      </c>
      <c r="B11" t="s">
        <v>703</v>
      </c>
      <c r="C11" s="128">
        <f>ROUND('DOE25'!L199+'DOE25'!L217+'DOE25'!L235+'DOE25'!L278+'DOE25'!L297+'DOE25'!L316,0)</f>
        <v>678627</v>
      </c>
      <c r="D11" s="131">
        <f>ROUND((C11/$C$28)*100,1)</f>
        <v>10.8</v>
      </c>
    </row>
    <row r="12" spans="1:4" x14ac:dyDescent="0.2">
      <c r="A12">
        <v>1300</v>
      </c>
      <c r="B12" t="s">
        <v>704</v>
      </c>
      <c r="C12" s="128">
        <f>ROUND('DOE25'!L200+'DOE25'!L218+'DOE25'!L236+'DOE25'!L279+'DOE25'!L298+'DOE25'!L317,0)</f>
        <v>242325</v>
      </c>
      <c r="D12" s="131">
        <f>ROUND((C12/$C$28)*100,1)</f>
        <v>3.8</v>
      </c>
    </row>
    <row r="13" spans="1:4" x14ac:dyDescent="0.2">
      <c r="A13">
        <v>1400</v>
      </c>
      <c r="B13" t="s">
        <v>705</v>
      </c>
      <c r="C13" s="128">
        <f>ROUND('DOE25'!L201+'DOE25'!L219+'DOE25'!L237+'DOE25'!L280+'DOE25'!L299+'DOE25'!L318,0)</f>
        <v>208565</v>
      </c>
      <c r="D13" s="131">
        <f>ROUND((C13/$C$28)*100,1)</f>
        <v>3.3</v>
      </c>
    </row>
    <row r="14" spans="1:4" x14ac:dyDescent="0.2">
      <c r="D14" s="131"/>
    </row>
    <row r="15" spans="1:4" x14ac:dyDescent="0.2">
      <c r="A15">
        <v>2100</v>
      </c>
      <c r="B15" t="s">
        <v>706</v>
      </c>
      <c r="C15" s="128">
        <f>ROUND('DOE25'!L203+'DOE25'!L221+'DOE25'!L239+'DOE25'!L282+'DOE25'!L301+'DOE25'!L320,0)</f>
        <v>451592</v>
      </c>
      <c r="D15" s="131">
        <f t="shared" ref="D15:D27" si="0">ROUND((C15/$C$28)*100,1)</f>
        <v>7.2</v>
      </c>
    </row>
    <row r="16" spans="1:4" x14ac:dyDescent="0.2">
      <c r="A16">
        <v>2200</v>
      </c>
      <c r="B16" t="s">
        <v>707</v>
      </c>
      <c r="C16" s="128">
        <f>ROUND('DOE25'!L204+'DOE25'!L222+'DOE25'!L240+'DOE25'!L283+'DOE25'!L302+'DOE25'!L321,0)</f>
        <v>276366</v>
      </c>
      <c r="D16" s="131">
        <f t="shared" si="0"/>
        <v>4.4000000000000004</v>
      </c>
    </row>
    <row r="17" spans="1:4" x14ac:dyDescent="0.2">
      <c r="A17" s="132" t="s">
        <v>723</v>
      </c>
      <c r="B17" t="s">
        <v>738</v>
      </c>
      <c r="C17" s="128">
        <f>ROUND('DOE25'!L205+'DOE25'!L210+'DOE25'!L223+'DOE25'!L228+'DOE25'!L241+'DOE25'!L246+'DOE25'!L284+'DOE25'!L289+'DOE25'!L303+'DOE25'!L308+'DOE25'!L322+'DOE25'!L327,0)</f>
        <v>607072</v>
      </c>
      <c r="D17" s="131">
        <f t="shared" si="0"/>
        <v>9.6</v>
      </c>
    </row>
    <row r="18" spans="1:4" x14ac:dyDescent="0.2">
      <c r="A18">
        <v>2400</v>
      </c>
      <c r="B18" t="s">
        <v>711</v>
      </c>
      <c r="C18" s="128">
        <f>ROUND('DOE25'!L206+'DOE25'!L224+'DOE25'!L242+'DOE25'!L285+'DOE25'!L304+'DOE25'!L323,0)</f>
        <v>509159</v>
      </c>
      <c r="D18" s="131">
        <f t="shared" si="0"/>
        <v>8.1</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553600</v>
      </c>
      <c r="D20" s="131">
        <f t="shared" si="0"/>
        <v>8.8000000000000007</v>
      </c>
    </row>
    <row r="21" spans="1:4" x14ac:dyDescent="0.2">
      <c r="A21">
        <v>2700</v>
      </c>
      <c r="B21" t="s">
        <v>710</v>
      </c>
      <c r="C21" s="128">
        <f>ROUND('DOE25'!L209+'DOE25'!L227+'DOE25'!L245+'DOE25'!L288+'DOE25'!L307+'DOE25'!L326,0)</f>
        <v>154297</v>
      </c>
      <c r="D21" s="131">
        <f t="shared" si="0"/>
        <v>2.4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66006</v>
      </c>
      <c r="D25" s="131">
        <f t="shared" si="0"/>
        <v>1</v>
      </c>
    </row>
    <row r="26" spans="1:4" x14ac:dyDescent="0.2">
      <c r="A26" s="132" t="s">
        <v>717</v>
      </c>
      <c r="B26" t="s">
        <v>718</v>
      </c>
      <c r="C26" s="128">
        <f>'DOE25'!L269+'DOE25'!L270+'DOE25'!L350+'DOE25'!L351</f>
        <v>6628.12</v>
      </c>
      <c r="D26" s="131">
        <f t="shared" si="0"/>
        <v>0.1</v>
      </c>
    </row>
    <row r="27" spans="1:4" x14ac:dyDescent="0.2">
      <c r="A27">
        <v>3100</v>
      </c>
      <c r="B27" t="s">
        <v>11</v>
      </c>
      <c r="C27" s="128">
        <f>ROUND('DOE25'!L363-'DOE25'!L362,0)-SUM('DOE25'!G97:G110)</f>
        <v>54947.11</v>
      </c>
      <c r="D27" s="131">
        <f t="shared" si="0"/>
        <v>0.9</v>
      </c>
    </row>
    <row r="28" spans="1:4" x14ac:dyDescent="0.2">
      <c r="B28" s="135" t="s">
        <v>719</v>
      </c>
      <c r="C28" s="129">
        <f>SUM(C10:C27)</f>
        <v>6311208.2300000004</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6311208.2300000004</v>
      </c>
    </row>
    <row r="31" spans="1:4" x14ac:dyDescent="0.2">
      <c r="B31" s="32"/>
      <c r="C31" s="129"/>
    </row>
    <row r="32" spans="1:4" x14ac:dyDescent="0.2">
      <c r="A32">
        <v>5100</v>
      </c>
      <c r="B32" s="32" t="s">
        <v>726</v>
      </c>
      <c r="C32" s="129">
        <f>ROUND('DOE25'!L261+'DOE25'!L342,0)</f>
        <v>645000</v>
      </c>
    </row>
    <row r="34" spans="1:4" x14ac:dyDescent="0.2">
      <c r="A34" s="135" t="s">
        <v>94</v>
      </c>
      <c r="B34" s="136" t="s">
        <v>1794</v>
      </c>
      <c r="C34" s="130" t="s">
        <v>720</v>
      </c>
      <c r="D34" s="130" t="s">
        <v>721</v>
      </c>
    </row>
    <row r="35" spans="1:4" x14ac:dyDescent="0.2">
      <c r="A35">
        <v>1100</v>
      </c>
      <c r="B35" s="71" t="s">
        <v>727</v>
      </c>
      <c r="C35" s="128">
        <f>ROUND('DOE25'!F60+'DOE25'!G60+'DOE25'!H60+'DOE25'!I60+'DOE25'!J60,0)</f>
        <v>4620444</v>
      </c>
      <c r="D35" s="131">
        <f t="shared" ref="D35:D40" si="1">ROUND((C35/$C$41)*100,1)</f>
        <v>65.3</v>
      </c>
    </row>
    <row r="36" spans="1:4" x14ac:dyDescent="0.2">
      <c r="B36" s="71" t="s">
        <v>739</v>
      </c>
      <c r="C36" s="128">
        <f>SUM('DOE25'!F112:J112)-SUM('DOE25'!G97:G110)+('DOE25'!F175+'DOE25'!F176+'DOE25'!I175+'DOE25'!I176)-C35</f>
        <v>313021.95999999996</v>
      </c>
      <c r="D36" s="131">
        <f t="shared" si="1"/>
        <v>4.4000000000000004</v>
      </c>
    </row>
    <row r="37" spans="1:4" x14ac:dyDescent="0.2">
      <c r="A37" s="132" t="s">
        <v>831</v>
      </c>
      <c r="B37" s="71" t="s">
        <v>728</v>
      </c>
      <c r="C37" s="128">
        <f>ROUND('DOE25'!F117+'DOE25'!F118,0)</f>
        <v>1396696</v>
      </c>
      <c r="D37" s="131">
        <f t="shared" si="1"/>
        <v>19.7</v>
      </c>
    </row>
    <row r="38" spans="1:4" x14ac:dyDescent="0.2">
      <c r="A38" s="132" t="s">
        <v>734</v>
      </c>
      <c r="B38" s="71" t="s">
        <v>729</v>
      </c>
      <c r="C38" s="128">
        <f>ROUND(SUM('DOE25'!F140:J140)-SUM('DOE25'!F117:F119),0)</f>
        <v>372219</v>
      </c>
      <c r="D38" s="131">
        <f t="shared" si="1"/>
        <v>5.3</v>
      </c>
    </row>
    <row r="39" spans="1:4" x14ac:dyDescent="0.2">
      <c r="A39">
        <v>4000</v>
      </c>
      <c r="B39" s="71" t="s">
        <v>730</v>
      </c>
      <c r="C39" s="128">
        <f>ROUND('DOE25'!F170+'DOE25'!G170+'DOE25'!H170+'DOE25'!I170,0)</f>
        <v>373269</v>
      </c>
      <c r="D39" s="131">
        <f t="shared" si="1"/>
        <v>5.3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7075649.96</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8" sqref="A8"/>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Profile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21</v>
      </c>
      <c r="B4" s="149">
        <v>18</v>
      </c>
      <c r="C4" s="332" t="s">
        <v>1843</v>
      </c>
      <c r="D4" s="332"/>
      <c r="E4" s="332"/>
      <c r="F4" s="332"/>
      <c r="G4" s="332"/>
      <c r="H4" s="332"/>
      <c r="I4" s="332"/>
      <c r="J4" s="332"/>
      <c r="K4" s="332"/>
      <c r="L4" s="332"/>
      <c r="M4" s="334"/>
    </row>
    <row r="5" spans="1:13" x14ac:dyDescent="0.2">
      <c r="A5" s="158">
        <v>21</v>
      </c>
      <c r="B5" s="149">
        <v>19</v>
      </c>
      <c r="C5" s="332" t="s">
        <v>1844</v>
      </c>
      <c r="D5" s="332"/>
      <c r="E5" s="332"/>
      <c r="F5" s="332"/>
      <c r="G5" s="332"/>
      <c r="H5" s="332"/>
      <c r="I5" s="332"/>
      <c r="J5" s="332"/>
      <c r="K5" s="332"/>
      <c r="L5" s="332"/>
      <c r="M5" s="334"/>
    </row>
    <row r="6" spans="1:13" x14ac:dyDescent="0.2">
      <c r="A6" s="158">
        <v>23</v>
      </c>
      <c r="B6" s="149">
        <v>2</v>
      </c>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61</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79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f>IF('School Level Expenditures'!$B$2='School Tables'!L64,'School Tables'!S64,"")</f>
        <v>61</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f>IF('School Level Expenditures'!$B$2='School Tables'!W82,'School Tables'!AD82,"")</f>
        <v>79</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2024-10-17T21:19:40Z</cp:lastPrinted>
  <dcterms:created xsi:type="dcterms:W3CDTF">1997-12-04T19:04:30Z</dcterms:created>
  <dcterms:modified xsi:type="dcterms:W3CDTF">2024-12-20T19:26:09Z</dcterms:modified>
</cp:coreProperties>
</file>