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E4CEBC7-37B4-4D2B-865E-3CBB97FF1BF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0" i="1" l="1"/>
  <c r="I174" i="1"/>
  <c r="I45" i="1" l="1"/>
  <c r="I469" i="1"/>
  <c r="F469" i="1"/>
  <c r="F117" i="1"/>
  <c r="E13" i="17" l="1"/>
  <c r="O13" i="14" l="1"/>
  <c r="O41" i="14"/>
  <c r="O40" i="14"/>
  <c r="O27" i="14"/>
  <c r="O12" i="14"/>
  <c r="O10" i="14"/>
  <c r="O9" i="14"/>
  <c r="O8" i="14"/>
  <c r="O7" i="14"/>
  <c r="O6" i="14"/>
  <c r="D41" i="14" l="1"/>
  <c r="E13" i="14" l="1"/>
  <c r="E41" i="14"/>
  <c r="E40" i="14"/>
  <c r="E27" i="14"/>
  <c r="E12" i="14"/>
  <c r="E10" i="14"/>
  <c r="E9" i="14"/>
  <c r="E8" i="14"/>
  <c r="E7" i="14"/>
  <c r="E6" i="14"/>
  <c r="D40" i="14"/>
  <c r="D27" i="14"/>
  <c r="D13" i="14"/>
  <c r="D12" i="14"/>
  <c r="D10" i="14"/>
  <c r="D9" i="14"/>
  <c r="D8" i="14"/>
  <c r="D7" i="14"/>
  <c r="D6" i="14"/>
  <c r="F15" i="13" l="1"/>
  <c r="F13" i="13"/>
  <c r="F7" i="13"/>
  <c r="F6" i="13"/>
  <c r="F5" i="13"/>
  <c r="D11" i="13" l="1"/>
  <c r="D9" i="13"/>
  <c r="B37" i="12" l="1"/>
  <c r="B39" i="12"/>
  <c r="B38" i="12"/>
  <c r="C37" i="12"/>
  <c r="C28" i="12"/>
  <c r="B28" i="12"/>
  <c r="C19" i="12"/>
  <c r="B21" i="12"/>
  <c r="B20" i="12"/>
  <c r="B19" i="12"/>
  <c r="C10" i="12"/>
  <c r="B12" i="12"/>
  <c r="B11" i="12"/>
  <c r="B10" i="12"/>
  <c r="E11" i="17" l="1"/>
  <c r="E9" i="17"/>
  <c r="H135" i="1" l="1"/>
  <c r="K264" i="1" l="1"/>
  <c r="H473" i="1" l="1"/>
  <c r="G22" i="1" l="1"/>
  <c r="G14" i="1"/>
  <c r="G24" i="1"/>
  <c r="G48" i="1"/>
  <c r="G158" i="1" l="1"/>
  <c r="F110" i="1"/>
  <c r="G97"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H44" i="2" s="1"/>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C85" i="2"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H22" i="2" s="1"/>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H79" i="2" s="1"/>
  <c r="D79" i="2"/>
  <c r="E79" i="2"/>
  <c r="C80" i="2"/>
  <c r="H80" i="2" s="1"/>
  <c r="E80" i="2"/>
  <c r="C87" i="2"/>
  <c r="E87" i="2"/>
  <c r="F87" i="2"/>
  <c r="C89" i="2"/>
  <c r="D89" i="2"/>
  <c r="E89" i="2"/>
  <c r="F89" i="2"/>
  <c r="C90" i="2"/>
  <c r="H90" i="2" s="1"/>
  <c r="C93" i="2"/>
  <c r="F93" i="2"/>
  <c r="H93" i="2" s="1"/>
  <c r="C94" i="2"/>
  <c r="H94" i="2" s="1"/>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E111" i="2"/>
  <c r="E11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D144" i="2" l="1"/>
  <c r="G409" i="1"/>
  <c r="H646" i="1" s="1"/>
  <c r="H99" i="2"/>
  <c r="H26" i="2"/>
  <c r="H97" i="2"/>
  <c r="H87" i="2"/>
  <c r="H35" i="2"/>
  <c r="H9" i="2"/>
  <c r="I170" i="1"/>
  <c r="H69" i="2"/>
  <c r="H30" i="2"/>
  <c r="H28" i="2"/>
  <c r="H15" i="2"/>
  <c r="H143" i="2"/>
  <c r="C125" i="2"/>
  <c r="H58" i="2"/>
  <c r="H101" i="2"/>
  <c r="H73" i="2"/>
  <c r="H8" i="2"/>
  <c r="J140" i="1"/>
  <c r="H132" i="2"/>
  <c r="H36" i="2"/>
  <c r="H48" i="2"/>
  <c r="H96" i="2"/>
  <c r="H72" i="2"/>
  <c r="H59" i="2"/>
  <c r="J112" i="1"/>
  <c r="J194" i="1" s="1"/>
  <c r="G647" i="1" s="1"/>
  <c r="I409" i="1"/>
  <c r="H89" i="2"/>
  <c r="H27" i="2"/>
  <c r="H24" i="2"/>
  <c r="H12" i="2"/>
  <c r="H113" i="2"/>
  <c r="G663" i="1"/>
  <c r="C112" i="2"/>
  <c r="H17" i="2"/>
  <c r="H47" i="2"/>
  <c r="H477" i="1"/>
  <c r="H625" i="1" s="1"/>
  <c r="H29" i="2"/>
  <c r="H23" i="2"/>
  <c r="H11" i="2"/>
  <c r="H13" i="2"/>
  <c r="F170" i="1"/>
  <c r="D78" i="2"/>
  <c r="H77" i="2"/>
  <c r="H61" i="2"/>
  <c r="H125" i="2"/>
  <c r="E124" i="2"/>
  <c r="E120" i="2"/>
  <c r="H112" i="2"/>
  <c r="J652" i="1"/>
  <c r="D15" i="13"/>
  <c r="C15" i="13" s="1"/>
  <c r="E13" i="13"/>
  <c r="C13" i="13" s="1"/>
  <c r="C120" i="2"/>
  <c r="C119" i="2"/>
  <c r="K36" i="14"/>
  <c r="K37" i="14" s="1"/>
  <c r="C13" i="10"/>
  <c r="C12" i="10"/>
  <c r="K2" i="14"/>
  <c r="K3" i="14" s="1"/>
  <c r="G662" i="1"/>
  <c r="D29" i="13"/>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H21" i="2" l="1"/>
  <c r="H120" i="2"/>
  <c r="H42" i="2"/>
  <c r="H16" i="2"/>
  <c r="H85" i="2"/>
  <c r="H134" i="2"/>
  <c r="H57" i="2"/>
  <c r="H103" i="2"/>
  <c r="H62" i="2"/>
  <c r="H78" i="2"/>
  <c r="H124" i="2"/>
  <c r="H50" i="2"/>
  <c r="H18" i="2"/>
  <c r="E51" i="2"/>
  <c r="D51" i="2"/>
  <c r="H31" i="2"/>
  <c r="H91" i="2"/>
  <c r="C81" i="2"/>
  <c r="H81" i="2" s="1"/>
  <c r="F194" i="1"/>
  <c r="G628" i="1" s="1"/>
  <c r="J628" i="1" s="1"/>
  <c r="I663" i="1"/>
  <c r="H122" i="2"/>
  <c r="H119" i="2"/>
  <c r="I662" i="1"/>
  <c r="D128" i="2"/>
  <c r="D145" i="2" s="1"/>
  <c r="H127" i="2"/>
  <c r="L572" i="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H5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<sst xmlns="http://schemas.openxmlformats.org/spreadsheetml/2006/main" count="6653" uniqueCount="1853">
  <si>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</si>
  <si>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</si>
  <si>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</si>
  <si>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</si>
  <si>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</si>
  <si>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</si>
  <si>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</si>
  <si>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</si>
  <si>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</si>
  <si>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</si>
  <si>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</si>
  <si>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</si>
  <si>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</si>
  <si>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</si>
  <si>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</si>
  <si>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</si>
  <si>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</si>
  <si>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</si>
  <si>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</si>
  <si>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</si>
  <si>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</si>
  <si>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</si>
  <si>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</si>
  <si>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</si>
  <si>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</si>
  <si>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</si>
  <si>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</si>
  <si>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</si>
  <si>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</si>
  <si>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</si>
  <si>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</si>
  <si>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</si>
  <si>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</si>
  <si>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</si>
  <si>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</si>
  <si>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</si>
  <si>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</si>
  <si>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</si>
  <si>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</si>
  <si>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</si>
  <si>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</si>
  <si>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</si>
  <si>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</si>
  <si>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</si>
  <si>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</si>
  <si>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</si>
  <si>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</si>
  <si>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</si>
  <si>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</si>
  <si>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</si>
  <si>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</si>
  <si>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</si>
  <si>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</si>
  <si>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</si>
  <si>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</si>
  <si>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</si>
  <si>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</si>
  <si>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</si>
  <si>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</si>
  <si>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</si>
  <si>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</si>
  <si>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</si>
  <si>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</si>
  <si>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</si>
  <si>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</si>
  <si>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</si>
  <si>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</si>
  <si>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</si>
  <si>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</si>
  <si>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</si>
  <si>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</si>
  <si>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</si>
  <si>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</si>
  <si>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</si>
  <si>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</si>
  <si>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</si>
  <si>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</si>
  <si>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</si>
  <si>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</si>
  <si>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</si>
  <si>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</si>
  <si>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</si>
  <si>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</si>
  <si>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</si>
  <si>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</si>
  <si>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</si>
  <si>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</si>
  <si>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</si>
  <si>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</si>
  <si>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</si>
  <si>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</si>
  <si>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</si>
  <si>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</si>
  <si>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</si>
  <si>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</si>
  <si>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</si>
  <si>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</si>
  <si>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</si>
  <si>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</si>
  <si>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</si>
  <si>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</si>
  <si>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</si>
  <si>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</si>
  <si>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</si>
  <si>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</si>
  <si>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</si>
  <si>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</si>
  <si>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</si>
  <si>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</si>
  <si>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</si>
  <si>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</si>
  <si>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</si>
  <si>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</si>
  <si>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</si>
  <si>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</si>
  <si>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</si>
  <si>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</si>
  <si>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</si>
  <si>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</si>
  <si>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</si>
  <si>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</si>
  <si>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</si>
  <si>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</si>
  <si>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</si>
  <si>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</si>
  <si>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</si>
  <si>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</si>
  <si>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</si>
  <si>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</si>
  <si>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</si>
  <si>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</si>
  <si>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</si>
  <si>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</si>
  <si>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</si>
  <si>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</si>
  <si>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</si>
  <si>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</si>
  <si>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</si>
  <si>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</si>
  <si>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</si>
  <si>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</si>
  <si>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</si>
  <si>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</si>
  <si>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</si>
  <si>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</si>
  <si>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</si>
  <si>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</si>
  <si>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</si>
  <si>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</si>
  <si>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</si>
  <si>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</si>
  <si>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</si>
  <si>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</si>
  <si>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</si>
  <si>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</si>
  <si>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</si>
  <si>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</si>
  <si>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</si>
  <si>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</si>
  <si>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</si>
  <si>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</si>
  <si>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</si>
  <si>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</si>
  <si>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</si>
  <si>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</si>
  <si>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</si>
  <si>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</si>
  <si>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</si>
  <si>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</si>
  <si>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</si>
  <si>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</si>
  <si>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</si>
  <si>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</si>
  <si>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</si>
  <si>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</si>
  <si>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</si>
  <si>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</si>
  <si>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</si>
  <si>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</si>
  <si>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</si>
  <si>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</si>
  <si>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</si>
  <si>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</si>
  <si>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</si>
  <si>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</si>
  <si>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</si>
  <si>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</si>
  <si>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</si>
  <si>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</si>
  <si>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</si>
  <si>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</si>
  <si>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</si>
  <si>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</si>
  <si>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</si>
  <si>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</si>
  <si>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</si>
  <si>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</si>
  <si>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</si>
  <si>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</si>
  <si>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</si>
  <si>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</si>
  <si>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</si>
  <si>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</si>
  <si>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</si>
  <si>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</si>
  <si>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</si>
  <si>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</si>
  <si>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</si>
  <si>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</si>
  <si>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</si>
  <si>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</si>
  <si>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</si>
  <si>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</si>
  <si>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</si>
  <si>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</si>
  <si>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</si>
  <si>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</si>
  <si>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</si>
  <si>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</si>
  <si>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</si>
  <si>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</si>
  <si>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</si>
  <si>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</si>
  <si>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</si>
  <si>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</si>
  <si>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</si>
  <si>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</si>
  <si>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</si>
  <si>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</si>
  <si>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</si>
  <si>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</si>
  <si>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</si>
  <si>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</si>
  <si>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</si>
  <si>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</si>
  <si>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</si>
  <si>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</si>
  <si>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</si>
  <si>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</si>
  <si>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</si>
  <si>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</si>
  <si>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</si>
  <si>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</si>
  <si>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</si>
  <si>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</si>
  <si>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</si>
  <si>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</si>
  <si>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</si>
  <si>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</si>
  <si>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</si>
  <si>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</si>
  <si>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</si>
  <si>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</si>
  <si>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</si>
  <si>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</si>
  <si>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</si>
  <si>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</si>
  <si>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</si>
  <si>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</si>
  <si>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</si>
  <si>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</si>
  <si>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</si>
  <si>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</si>
  <si>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</si>
  <si>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</si>
  <si>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</si>
  <si>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</si>
  <si>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</si>
  <si>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</si>
  <si>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</si>
  <si>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</si>
  <si>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</si>
  <si>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</si>
  <si>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</si>
  <si>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</si>
  <si>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</si>
  <si>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</si>
  <si>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</si>
  <si>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</si>
  <si>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</si>
  <si>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</si>
  <si>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</si>
  <si>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</si>
  <si>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</si>
  <si>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</si>
  <si>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</si>
  <si>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</si>
  <si>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</si>
  <si>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</si>
  <si>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</si>
  <si>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</si>
  <si>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</si>
  <si>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</si>
  <si>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</si>
  <si>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</si>
  <si>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</si>
  <si>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</si>
  <si>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</si>
  <si>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</si>
  <si>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</si>
  <si>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</si>
  <si>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</si>
  <si>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</si>
  <si>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</si>
  <si>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</si>
  <si>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</si>
  <si>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</si>
  <si>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</si>
  <si>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</si>
  <si>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</si>
  <si>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</si>
  <si>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</si>
  <si>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</si>
  <si>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</si>
  <si>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</si>
  <si>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</si>
  <si>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</si>
  <si>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</si>
  <si>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</si>
  <si>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</si>
  <si>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</si>
  <si>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</si>
  <si>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</si>
  <si>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</si>
  <si>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</si>
  <si>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</si>
  <si>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</si>
  <si>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</si>
  <si>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</si>
  <si>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</si>
  <si>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</si>
  <si>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</si>
  <si>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</si>
  <si>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</si>
  <si>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</si>
  <si>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</si>
  <si>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</si>
  <si>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</si>
  <si>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</si>
  <si>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</si>
  <si>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</si>
  <si>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</si>
  <si>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</si>
  <si>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</si>
  <si>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</si>
  <si>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</si>
  <si>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</si>
  <si>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</si>
  <si>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</si>
  <si>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</si>
  <si>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</si>
  <si>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</si>
  <si>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</si>
  <si>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</si>
  <si>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</si>
  <si>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</si>
  <si>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</si>
  <si>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</si>
  <si>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</si>
  <si>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</si>
  <si>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</si>
  <si>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</si>
  <si>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</si>
  <si>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</si>
  <si>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</si>
  <si>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</si>
  <si>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</si>
  <si>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</si>
  <si>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</si>
  <si>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</si>
  <si>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</si>
  <si>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</si>
  <si>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</si>
  <si>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</si>
  <si>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</si>
  <si>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</si>
  <si>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</si>
  <si>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</si>
  <si>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</si>
  <si>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</si>
  <si>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</si>
  <si>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</si>
  <si>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</si>
  <si>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</si>
  <si>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</si>
  <si>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</si>
  <si>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</si>
  <si>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</si>
  <si>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</si>
  <si>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</si>
  <si>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</si>
  <si>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</si>
  <si>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</si>
  <si>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</si>
  <si>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</si>
  <si>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</si>
  <si>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</si>
  <si>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</si>
  <si>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</si>
  <si>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</si>
  <si>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</si>
  <si>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</si>
  <si>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</si>
  <si>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</si>
  <si>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</si>
  <si>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</si>
  <si>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</si>
  <si>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</si>
  <si>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</si>
  <si>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</si>
  <si>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</si>
  <si>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</si>
  <si>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</si>
  <si>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</si>
  <si>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</si>
  <si>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</si>
  <si>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</si>
  <si>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</si>
  <si>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</si>
  <si>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</si>
  <si>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</si>
  <si>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</si>
  <si>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</si>
  <si>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</si>
  <si>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</si>
  <si>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</si>
  <si>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</si>
  <si>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</si>
  <si>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</si>
  <si>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</si>
  <si>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</si>
  <si>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</si>
  <si>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</si>
  <si>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</si>
  <si>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</si>
  <si>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</si>
  <si>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</si>
  <si>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</si>
  <si>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</si>
  <si>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</si>
  <si>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</si>
  <si>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</si>
  <si>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</si>
  <si>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</si>
  <si>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</si>
  <si>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</si>
  <si>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</si>
  <si>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</si>
  <si>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</si>
  <si>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</si>
  <si>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</si>
  <si>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</si>
  <si>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</si>
  <si>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</si>
  <si>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</si>
  <si>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</si>
  <si>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</si>
  <si>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</si>
  <si>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</si>
  <si>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</si>
  <si>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</si>
  <si>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</si>
  <si>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</si>
  <si>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</si>
  <si>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</si>
  <si>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</si>
  <si>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</si>
  <si>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</si>
  <si>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</si>
  <si>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</si>
  <si>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</si>
  <si>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</si>
  <si>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</si>
  <si>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</si>
  <si>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</si>
  <si>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</si>
  <si>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</si>
  <si>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</si>
  <si>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</si>
  <si>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</si>
  <si>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</si>
  <si>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</si>
  <si>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</si>
  <si>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</si>
  <si>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</si>
  <si>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</si>
  <si>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</si>
  <si>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</si>
  <si>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</si>
  <si>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</si>
  <si>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</si>
  <si>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</si>
  <si>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</si>
  <si>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</si>
  <si>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</si>
  <si>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</si>
  <si>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</si>
  <si>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</si>
  <si>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</si>
  <si>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</si>
  <si>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</si>
  <si>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</si>
  <si>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</si>
  <si>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</si>
  <si>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</si>
  <si>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</si>
  <si>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</si>
  <si>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</si>
  <si>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</si>
  <si>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</si>
  <si>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</si>
  <si>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</si>
  <si>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</si>
  <si>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</si>
  <si>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</si>
  <si>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</si>
  <si>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</si>
  <si>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</si>
  <si>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</si>
  <si>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</si>
  <si>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</si>
  <si>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</si>
  <si>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</si>
  <si>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</si>
  <si>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</si>
  <si>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</si>
  <si>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</si>
  <si>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</si>
  <si>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</si>
  <si>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</si>
  <si>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</si>
  <si>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</si>
  <si>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</si>
  <si>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</si>
  <si>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</si>
  <si>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</si>
  <si>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</si>
  <si>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</si>
  <si>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</si>
  <si>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</si>
  <si>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</si>
  <si>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</si>
  <si>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</si>
  <si>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</si>
  <si>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</si>
  <si>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</si>
  <si>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</si>
  <si>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</si>
  <si>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</si>
  <si>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</si>
  <si>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</si>
  <si>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</si>
  <si>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</si>
  <si>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</si>
  <si>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</si>
  <si>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</si>
  <si>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</si>
  <si>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</si>
  <si>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</si>
  <si>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</si>
  <si>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</si>
  <si>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</si>
  <si>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</si>
  <si>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</si>
  <si>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</si>
  <si>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</si>
  <si>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</si>
  <si>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</si>
  <si>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</si>
  <si>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</si>
  <si>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</si>
  <si>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</si>
  <si>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</si>
  <si>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</si>
  <si>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</si>
  <si>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</si>
  <si>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</si>
  <si>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</si>
  <si>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</si>
  <si>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</si>
  <si>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</si>
  <si>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</si>
  <si>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</si>
  <si>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</si>
  <si>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</si>
  <si>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</si>
  <si>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</si>
  <si>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</si>
  <si>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</si>
  <si>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</si>
  <si>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</si>
  <si>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</si>
  <si>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</si>
  <si>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</si>
  <si>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</si>
  <si>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</si>
  <si>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</si>
  <si>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</si>
  <si>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</si>
  <si>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</si>
  <si>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</si>
  <si>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</si>
  <si>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</si>
  <si>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</si>
  <si>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</si>
  <si>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</si>
  <si>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</si>
  <si>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</si>
  <si>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</si>
  <si>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</si>
  <si>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</si>
  <si>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</si>
  <si>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</si>
  <si>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</si>
  <si>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</si>
  <si>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</si>
  <si>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</si>
  <si>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</si>
  <si>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</si>
  <si>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</si>
  <si>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</si>
  <si>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</si>
  <si>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</si>
  <si>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</si>
  <si>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</si>
  <si>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</si>
  <si>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</si>
  <si>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</si>
  <si>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</si>
  <si>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</si>
  <si>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</si>
  <si>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</si>
  <si>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</si>
  <si>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</si>
  <si>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</si>
  <si>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</si>
  <si>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</si>
  <si>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</si>
  <si>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</si>
  <si>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</si>
  <si>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</si>
  <si>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</si>
  <si>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</si>
  <si>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</si>
  <si>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</si>
  <si>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</si>
  <si>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</si>
  <si>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</si>
  <si>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</si>
  <si>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</si>
  <si>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</si>
  <si>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</si>
  <si>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</si>
  <si>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</si>
  <si>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</si>
  <si>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</si>
  <si>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</si>
  <si>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</si>
  <si>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</si>
  <si>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</si>
  <si>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</si>
  <si>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</si>
  <si>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</si>
  <si>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</si>
  <si>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</si>
  <si>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</si>
  <si>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</si>
  <si>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</si>
  <si>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</si>
  <si>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</si>
  <si>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</si>
  <si>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</si>
  <si>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</si>
  <si>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</si>
  <si>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</si>
  <si>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</si>
  <si>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</si>
  <si>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</si>
  <si>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</si>
  <si>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</si>
  <si>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</si>
  <si>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</si>
  <si>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</si>
  <si>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</si>
  <si>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</si>
  <si>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</si>
  <si>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</si>
  <si>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</si>
  <si>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</si>
  <si>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</si>
  <si>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</si>
  <si>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</si>
  <si>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</si>
  <si>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</si>
  <si>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</si>
  <si>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</si>
  <si>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</si>
  <si>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</si>
  <si>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</si>
  <si>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</si>
  <si>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</si>
  <si>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</si>
  <si>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</si>
  <si>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</si>
  <si>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</si>
  <si>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</si>
  <si>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</si>
  <si>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</si>
  <si>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</si>
  <si>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</si>
  <si>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</si>
  <si>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</si>
  <si>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</si>
  <si>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</si>
  <si>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</si>
  <si>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</si>
  <si>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</si>
  <si>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</si>
  <si>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</si>
  <si>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</si>
  <si>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</si>
  <si>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</si>
  <si>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</si>
  <si>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</si>
  <si>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</si>
  <si>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</si>
  <si>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</si>
  <si>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</si>
  <si>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</si>
  <si>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</si>
  <si>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</si>
  <si>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</si>
  <si>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</si>
  <si>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</si>
  <si>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</si>
  <si>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</si>
  <si>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</si>
  <si>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</si>
  <si>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</si>
  <si>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</si>
  <si>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</si>
  <si>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</si>
  <si>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</si>
  <si>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</si>
  <si>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</si>
  <si>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</si>
  <si>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</si>
  <si>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</si>
  <si>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</si>
  <si>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</si>
  <si>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</si>
  <si>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</si>
  <si>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</si>
  <si>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</si>
  <si>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</si>
  <si>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</si>
  <si>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</si>
  <si>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</si>
  <si>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</si>
  <si>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</si>
  <si>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</si>
  <si>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</si>
  <si>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</si>
  <si>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</si>
  <si>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</si>
  <si>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</si>
  <si>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</si>
  <si>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</si>
  <si>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</si>
  <si>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</si>
  <si>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</si>
  <si>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</si>
  <si>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</si>
  <si>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</si>
  <si>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</si>
  <si>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</si>
  <si>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</si>
  <si>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</si>
  <si>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</si>
  <si>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</si>
  <si>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</si>
  <si>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</si>
  <si>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</si>
  <si>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</si>
  <si>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</si>
  <si>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</si>
  <si>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</si>
  <si>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</si>
  <si>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</si>
  <si>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</si>
  <si>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</si>
  <si>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</si>
  <si>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</si>
  <si>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</si>
  <si>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</si>
  <si>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</si>
  <si>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</si>
  <si>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</si>
  <si>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</si>
  <si>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</si>
  <si>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</si>
  <si>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</si>
  <si>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</si>
  <si>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</si>
  <si>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</si>
  <si>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</si>
  <si>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</si>
  <si>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</si>
  <si>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</si>
  <si>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</si>
  <si>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</si>
  <si>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</si>
  <si>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</si>
  <si>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</si>
  <si>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</si>
  <si>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</si>
  <si>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</si>
  <si>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</si>
  <si>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</si>
  <si>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</si>
  <si>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</si>
  <si>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</si>
  <si>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</si>
  <si>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</si>
  <si>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</si>
  <si>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</si>
  <si>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</si>
  <si>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</si>
  <si>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</si>
  <si>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</si>
  <si>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</si>
  <si>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</si>
  <si>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</si>
  <si>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</si>
  <si>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</si>
  <si>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</si>
  <si>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</si>
  <si>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</si>
  <si>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</si>
  <si>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</si>
  <si>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</si>
  <si>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</si>
  <si>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</si>
  <si>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</si>
  <si>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</si>
  <si>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</si>
  <si>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</si>
  <si>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</si>
  <si>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</si>
  <si>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</si>
  <si>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</si>
  <si>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</si>
  <si>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</si>
  <si>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</si>
  <si>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</si>
  <si>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</si>
  <si>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</si>
  <si>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</si>
  <si>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</si>
  <si>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</si>
  <si>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</si>
  <si>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</si>
  <si>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</si>
  <si>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</si>
  <si>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</si>
  <si>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</si>
  <si>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</si>
  <si>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</si>
  <si>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</si>
  <si>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</si>
  <si>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</si>
  <si>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</si>
  <si>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</si>
  <si>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</si>
  <si>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</si>
  <si>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</si>
  <si>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</si>
  <si>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</si>
  <si>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</si>
  <si>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</si>
  <si>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</si>
  <si>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</si>
  <si>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</si>
  <si>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</si>
  <si>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</si>
  <si>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</si>
  <si>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</si>
  <si>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</si>
  <si>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</si>
  <si>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</si>
  <si>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</si>
  <si>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</si>
  <si>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</si>
  <si>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</si>
  <si>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</si>
  <si>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</si>
  <si>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</si>
  <si>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</si>
  <si>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</si>
  <si>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</si>
  <si>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</si>
  <si>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</si>
  <si>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</si>
  <si>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</si>
  <si>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</si>
  <si>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</si>
  <si>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</si>
  <si>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</si>
  <si>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</si>
  <si>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</si>
  <si>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</si>
  <si>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</si>
  <si>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</si>
  <si>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</si>
  <si>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</si>
  <si>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</si>
  <si>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</si>
  <si>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</si>
  <si>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</si>
  <si>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</si>
  <si>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</si>
  <si>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</si>
  <si>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</si>
  <si>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</si>
  <si>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</si>
  <si>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</si>
  <si>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</si>
  <si>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</si>
  <si>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</si>
  <si>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</si>
  <si>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</si>
  <si>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</si>
  <si>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</si>
  <si>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</si>
  <si>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</si>
  <si>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</si>
  <si>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</si>
  <si>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</si>
  <si>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</si>
  <si>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</si>
  <si>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</si>
  <si>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</si>
  <si>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</si>
  <si>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</si>
  <si>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</si>
  <si>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</si>
  <si>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</si>
  <si>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</si>
  <si>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</si>
  <si>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</si>
  <si>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</si>
  <si>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</si>
  <si>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</si>
  <si>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</si>
  <si>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</si>
  <si>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</si>
  <si>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</si>
  <si>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</si>
  <si>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</si>
  <si>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</si>
  <si>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</si>
  <si>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</si>
  <si>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</si>
  <si>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</si>
  <si>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</si>
  <si>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</si>
  <si>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</si>
  <si>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</si>
  <si>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</si>
  <si>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</si>
  <si>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</si>
  <si>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</si>
  <si>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</si>
  <si>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</si>
  <si>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</si>
  <si>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</si>
  <si>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</si>
  <si>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</si>
  <si>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</si>
  <si>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</si>
  <si>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</si>
  <si>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</si>
  <si>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</si>
  <si>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</si>
  <si>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</si>
  <si>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</si>
  <si>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</si>
  <si>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</si>
  <si>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</si>
  <si>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</si>
  <si>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</si>
  <si>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</si>
  <si>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</si>
  <si>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</si>
  <si>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</si>
  <si>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</si>
  <si>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</si>
  <si>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</si>
  <si>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</si>
  <si>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</si>
  <si>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</si>
  <si>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</si>
  <si>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</si>
  <si>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</si>
  <si>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</si>
  <si>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</si>
  <si>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</si>
  <si>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</si>
  <si>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</si>
  <si>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</si>
  <si>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</si>
  <si>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</si>
  <si>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</si>
  <si>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</si>
  <si>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</si>
  <si>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</si>
  <si>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</si>
  <si>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</si>
  <si>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</si>
  <si>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</si>
  <si>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</si>
  <si>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</si>
  <si>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</si>
  <si>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</si>
  <si>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</si>
  <si>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</si>
  <si>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</si>
  <si>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</si>
  <si>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</si>
  <si>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</si>
  <si>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</si>
  <si>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</si>
  <si>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</si>
  <si>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</si>
  <si>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</si>
  <si>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</si>
  <si>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</si>
  <si>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</si>
  <si>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</si>
  <si>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</si>
  <si>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</si>
  <si>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</si>
  <si>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</si>
  <si>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</si>
  <si>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</si>
  <si>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</si>
  <si>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</si>
  <si>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</si>
  <si>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</si>
  <si>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</si>
  <si>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</si>
  <si>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</si>
  <si>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</si>
  <si>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</si>
  <si>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</si>
  <si>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</si>
  <si>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</si>
  <si>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</si>
  <si>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</si>
  <si>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</si>
  <si>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</si>
  <si>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</si>
  <si>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</si>
  <si>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</si>
  <si>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</si>
  <si>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</si>
  <si>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</si>
  <si>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</si>
  <si>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</si>
  <si>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</si>
  <si>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</si>
  <si>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</si>
  <si>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</si>
  <si>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</si>
  <si>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</si>
  <si>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</si>
  <si>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</si>
  <si>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</si>
  <si>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</si>
  <si>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</si>
  <si>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</si>
  <si>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</si>
  <si>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</si>
  <si>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</si>
  <si>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</si>
  <si>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</si>
  <si>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</si>
  <si>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</si>
  <si>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</si>
  <si>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</si>
  <si>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</si>
  <si>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</si>
  <si>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</si>
  <si>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</si>
  <si>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</si>
  <si>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</si>
  <si>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</si>
  <si>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</si>
  <si>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</si>
  <si>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</si>
  <si>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</si>
  <si>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</si>
  <si>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</si>
  <si>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</si>
  <si>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</si>
  <si>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</si>
  <si>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</si>
  <si>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</si>
  <si>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</si>
  <si>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</si>
  <si>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</si>
  <si>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</si>
  <si>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</si>
  <si>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</si>
  <si>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</si>
  <si>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</si>
  <si>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</si>
  <si>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</si>
  <si>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</si>
  <si>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</si>
  <si>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</si>
  <si>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</si>
  <si>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</si>
  <si>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</si>
  <si>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</si>
  <si>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</si>
  <si>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</si>
  <si>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</si>
  <si>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</si>
  <si>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</si>
  <si>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</si>
  <si>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</si>
  <si>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</si>
  <si>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</si>
  <si>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</si>
  <si>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</si>
  <si>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</si>
  <si>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</si>
  <si>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</si>
  <si>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</si>
  <si>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</si>
  <si>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</si>
  <si>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</si>
  <si>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</si>
  <si>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</si>
  <si>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</si>
  <si>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</si>
  <si>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</si>
  <si>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</si>
  <si>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</si>
  <si>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</si>
  <si>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</si>
  <si>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</si>
  <si>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</si>
  <si>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</si>
  <si>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</si>
  <si>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</si>
  <si>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</si>
  <si>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</si>
  <si>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</si>
  <si>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</si>
  <si>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</si>
  <si>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</si>
  <si>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</si>
  <si>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</si>
  <si>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</si>
  <si>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</si>
  <si>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</si>
  <si>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</si>
  <si>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</si>
  <si>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</si>
  <si>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</si>
  <si>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</si>
  <si>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</si>
  <si>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</si>
  <si>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</si>
  <si>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</si>
  <si>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</si>
  <si>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</si>
  <si>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</si>
  <si>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</si>
  <si>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</si>
  <si>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</si>
  <si>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</si>
  <si>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</si>
  <si>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</si>
  <si>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</si>
  <si>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</si>
  <si>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</si>
  <si>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</si>
  <si>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</si>
  <si>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</si>
  <si>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</si>
  <si>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</si>
  <si>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</si>
  <si>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</si>
  <si>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</si>
  <si>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</si>
  <si>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</si>
  <si>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</si>
  <si>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</si>
  <si>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</si>
  <si>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</si>
  <si>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</si>
  <si>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</si>
  <si>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</si>
  <si>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</si>
  <si>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</si>
  <si>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</si>
  <si>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</si>
  <si>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</si>
  <si>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</si>
  <si>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</si>
  <si>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</si>
  <si>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</si>
  <si>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</si>
  <si>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</si>
  <si>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</si>
  <si>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</si>
  <si>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</si>
  <si>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</si>
  <si>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</si>
  <si>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</si>
  <si>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</si>
  <si>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</si>
  <si>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</si>
  <si>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</si>
  <si>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</si>
  <si>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</si>
  <si>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</si>
  <si>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</si>
  <si>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</si>
  <si>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</si>
  <si>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</si>
  <si>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</si>
  <si>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</si>
  <si>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</si>
  <si>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</si>
  <si>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</si>
  <si>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</si>
  <si>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</si>
  <si>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</si>
  <si>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</si>
  <si>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</si>
  <si>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</si>
  <si>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</si>
  <si>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</si>
  <si>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</si>
  <si>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</si>
  <si>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</si>
  <si>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</si>
  <si>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</si>
  <si>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</si>
  <si>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</si>
  <si>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</si>
  <si>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</si>
  <si>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</si>
  <si>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</si>
  <si>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</si>
  <si>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</si>
  <si>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</si>
  <si>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</si>
  <si>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</si>
  <si>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</si>
  <si>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</si>
  <si>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</si>
  <si>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</si>
  <si>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</si>
  <si>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</si>
  <si>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</si>
  <si>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</si>
  <si>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</si>
  <si>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</si>
  <si>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</si>
  <si>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</si>
  <si>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</si>
  <si>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</si>
  <si>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</si>
  <si>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</si>
  <si>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</si>
  <si>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</si>
  <si>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</si>
  <si>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</si>
  <si>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</si>
  <si>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</si>
  <si>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</si>
  <si>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</si>
  <si>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</si>
  <si>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</si>
  <si>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</si>
  <si>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</si>
  <si>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</si>
  <si>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</si>
  <si>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</si>
  <si>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</si>
  <si>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</si>
  <si>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</si>
  <si>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</si>
  <si>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</si>
  <si>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</si>
  <si>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</si>
  <si>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</si>
  <si>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</si>
  <si>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</si>
  <si>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</si>
  <si>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</si>
  <si>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</si>
  <si>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</si>
  <si>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</si>
  <si>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</si>
  <si>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</si>
  <si>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</si>
  <si>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</si>
  <si>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</si>
  <si>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</si>
  <si>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</si>
  <si>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</si>
  <si>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</si>
  <si>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</si>
  <si>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</si>
  <si>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</si>
  <si>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</si>
  <si>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</si>
  <si>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</si>
  <si>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</si>
  <si>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</si>
  <si>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</si>
  <si>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</si>
  <si>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</si>
  <si>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</si>
  <si>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</si>
  <si>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</si>
  <si>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</si>
  <si>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</si>
  <si>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</si>
  <si>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</si>
  <si>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</si>
  <si>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</si>
  <si>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</si>
  <si>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</si>
  <si>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</si>
  <si>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</si>
  <si>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</si>
  <si>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</si>
  <si>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</si>
  <si>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</si>
  <si>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</si>
  <si>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</si>
  <si>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</si>
  <si>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</si>
  <si>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</si>
  <si>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</si>
  <si>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</si>
  <si>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</si>
  <si>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</si>
  <si>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</si>
  <si>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</si>
  <si>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</si>
  <si>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</si>
  <si>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</si>
  <si>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</si>
  <si>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</si>
  <si>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</si>
  <si>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</si>
  <si>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</si>
  <si>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</si>
  <si>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</si>
  <si>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</si>
  <si>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</si>
  <si>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</si>
  <si>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</si>
  <si>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</si>
  <si>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</si>
  <si>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</si>
  <si>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</si>
  <si>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</si>
  <si>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</si>
  <si>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</si>
  <si>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</si>
  <si>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</si>
  <si>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</si>
  <si>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</si>
  <si>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</si>
  <si>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</si>
  <si>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</si>
  <si>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</si>
  <si>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</si>
  <si>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</si>
  <si>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</si>
  <si>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</si>
  <si>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</si>
  <si>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</si>
  <si>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</si>
  <si>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</si>
  <si>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</si>
  <si>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</si>
  <si>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</si>
  <si>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</si>
  <si>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</si>
  <si>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</si>
  <si>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</si>
  <si>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</si>
  <si>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</si>
  <si>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</si>
  <si>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</si>
  <si>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</si>
  <si>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</si>
  <si>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</si>
  <si>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</si>
  <si>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</si>
  <si>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</si>
  <si>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</si>
  <si>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</si>
  <si>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</si>
  <si>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</si>
  <si>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</si>
  <si>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</si>
  <si>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</si>
  <si>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</si>
  <si>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</si>
  <si>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</si>
  <si>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</si>
  <si>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</si>
  <si>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</si>
  <si>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</si>
  <si>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</si>
  <si>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</si>
  <si>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</si>
  <si>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</si>
  <si>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</si>
  <si>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</si>
  <si>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</si>
  <si>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</si>
  <si>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</si>
  <si>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</si>
  <si>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</si>
  <si>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</si>
  <si>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</si>
  <si>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</si>
  <si>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</si>
  <si>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</si>
  <si>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</si>
  <si>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</si>
  <si>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</si>
  <si>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</si>
  <si>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</si>
  <si>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</si>
  <si>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</si>
  <si>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</si>
  <si>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</si>
  <si>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</si>
  <si>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</si>
  <si>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</si>
  <si>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</si>
  <si>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</si>
  <si>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</si>
  <si>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</si>
  <si>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</si>
  <si>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</si>
  <si>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</si>
  <si>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</si>
  <si>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</si>
  <si>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</si>
  <si>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</si>
  <si>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</si>
  <si>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</si>
  <si>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</si>
  <si>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</si>
  <si>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</si>
  <si>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</si>
  <si>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</si>
  <si>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</si>
  <si>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</si>
  <si>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</si>
  <si>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</si>
  <si>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</si>
  <si>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</si>
  <si>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</si>
  <si>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</si>
  <si>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</si>
  <si>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</si>
  <si>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</si>
  <si>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</si>
  <si>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</si>
  <si>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</si>
  <si>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</si>
  <si>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</si>
  <si>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</si>
  <si>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</si>
  <si>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</si>
  <si>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</si>
  <si>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</si>
  <si>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</si>
  <si>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</si>
  <si>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</si>
  <si>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</si>
  <si>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</si>
  <si>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</si>
  <si>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</si>
  <si>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</si>
  <si>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</si>
  <si>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</si>
  <si>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</si>
  <si>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</si>
  <si>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</si>
  <si>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</si>
  <si>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</si>
  <si>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</si>
  <si>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</si>
  <si>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</si>
  <si>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</si>
  <si>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</si>
  <si>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</si>
  <si>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</si>
  <si>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</si>
  <si>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</si>
  <si>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</si>
  <si>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</si>
  <si>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</si>
  <si>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</si>
  <si>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</si>
  <si>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</si>
  <si>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</si>
  <si>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</si>
  <si>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</si>
  <si>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</si>
  <si>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</si>
  <si>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</si>
  <si>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</si>
  <si>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</si>
  <si>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</si>
  <si>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</si>
  <si>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</si>
  <si>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</si>
  <si>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</si>
  <si>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</si>
  <si>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</si>
  <si>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</si>
  <si>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</si>
  <si>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</si>
  <si>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</si>
  <si>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</si>
  <si>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</si>
  <si>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</si>
  <si>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</si>
  <si>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</si>
  <si>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</si>
  <si>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</si>
  <si>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</si>
  <si>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</si>
  <si>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</si>
  <si>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</si>
  <si>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</si>
  <si>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</si>
  <si>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</si>
  <si>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</si>
  <si>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</si>
  <si>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</si>
  <si>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</si>
  <si>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</si>
  <si>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</si>
  <si>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</si>
  <si>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</si>
  <si>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</si>
  <si>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</si>
  <si>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</si>
  <si>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</si>
  <si>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</si>
  <si>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</si>
  <si>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</si>
  <si>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</si>
  <si>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</si>
  <si>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</si>
  <si>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</si>
  <si>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</si>
  <si>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</si>
  <si>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</si>
  <si>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</si>
  <si>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</si>
  <si>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</si>
  <si>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</si>
  <si>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</si>
  <si>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</si>
  <si>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</si>
  <si>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</si>
  <si>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</si>
  <si>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</si>
  <si>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</si>
  <si>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</si>
  <si>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</si>
  <si>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</si>
  <si>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</si>
  <si>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</si>
  <si>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</si>
  <si>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</si>
  <si>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</si>
  <si>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</si>
  <si>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</si>
  <si>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</si>
  <si>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</si>
  <si>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</si>
  <si>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</si>
  <si>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</si>
  <si>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</si>
  <si>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</si>
  <si>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</si>
  <si>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</si>
  <si>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</si>
  <si>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</si>
  <si>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</si>
  <si>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</si>
  <si>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</si>
  <si>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</si>
  <si>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</si>
  <si>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</si>
  <si>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</si>
  <si>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</si>
  <si>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</si>
  <si>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</si>
  <si>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</si>
  <si>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</si>
  <si>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</si>
  <si>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</si>
  <si>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</si>
  <si>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</si>
  <si>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</si>
  <si>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</si>
  <si>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</si>
  <si>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</si>
  <si>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</si>
  <si>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</si>
  <si>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</si>
  <si>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</si>
  <si>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</si>
  <si>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</si>
  <si>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</si>
  <si>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</si>
  <si>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</si>
  <si>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</si>
  <si>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</si>
  <si>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</si>
  <si>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</si>
  <si>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</si>
  <si>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</si>
  <si>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</si>
  <si>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</si>
  <si>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</si>
  <si>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</si>
  <si>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</si>
  <si>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</si>
  <si>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</si>
  <si>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</si>
  <si>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</si>
  <si>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</si>
  <si>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</si>
  <si>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</si>
  <si>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</si>
  <si>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</si>
  <si>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</si>
  <si>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</si>
  <si>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</si>
  <si>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</si>
  <si>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</si>
  <si>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</si>
  <si>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</si>
  <si>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</si>
  <si>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</si>
  <si>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</si>
  <si>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</si>
  <si>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</si>
  <si>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</si>
  <si>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</si>
  <si>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</si>
  <si>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</si>
  <si>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</si>
  <si>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</si>
  <si>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</si>
  <si>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</si>
  <si>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</si>
  <si>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</si>
  <si>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</si>
  <si>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</si>
  <si>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</si>
  <si>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</si>
  <si>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</si>
  <si>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</si>
  <si>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</si>
  <si>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</si>
  <si>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</si>
  <si>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</si>
  <si>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</si>
  <si>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</si>
  <si>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</si>
  <si>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</si>
  <si>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</si>
  <si>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</si>
  <si>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</si>
  <si>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</si>
  <si>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</si>
  <si>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</si>
  <si>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</si>
  <si>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</si>
  <si>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</si>
  <si>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</si>
  <si>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</si>
  <si>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</si>
  <si>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</si>
  <si>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</si>
  <si>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</si>
  <si>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</si>
  <si>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</si>
  <si>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</si>
  <si>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</si>
  <si>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</si>
  <si>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</si>
  <si>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</si>
  <si>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</si>
  <si>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</si>
  <si>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</si>
  <si>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</si>
  <si>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</si>
  <si>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</si>
  <si>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</si>
  <si>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</si>
  <si>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</si>
  <si>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</si>
  <si>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</si>
  <si>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</si>
  <si>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</si>
  <si>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</si>
  <si>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</si>
  <si>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</si>
  <si>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</si>
  <si>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</si>
  <si>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</si>
  <si>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</si>
  <si>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</si>
  <si>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</si>
  <si>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</si>
  <si>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</si>
  <si>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</si>
  <si>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</si>
  <si>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</si>
  <si>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</si>
  <si>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</si>
  <si>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</si>
  <si>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</si>
  <si>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</si>
  <si>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</si>
  <si>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</si>
  <si>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</si>
  <si>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</si>
  <si>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</si>
  <si>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</si>
  <si>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</si>
  <si>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</si>
  <si>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</si>
  <si>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</si>
  <si>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</si>
  <si>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</si>
  <si>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</si>
  <si>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</si>
  <si>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</si>
  <si>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</si>
  <si>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</si>
  <si>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</si>
  <si>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</si>
  <si>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</si>
  <si>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</si>
  <si>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</si>
  <si>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</si>
  <si>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</si>
  <si>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</si>
  <si>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</si>
  <si>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</si>
  <si>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</si>
  <si>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</si>
  <si>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</si>
  <si>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</si>
  <si>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</si>
  <si>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</si>
  <si>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</si>
  <si>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</si>
  <si>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</si>
  <si>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</si>
  <si>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</si>
  <si>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</si>
  <si>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</si>
  <si>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</si>
  <si>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</si>
  <si>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</si>
  <si>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</si>
  <si>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</si>
  <si>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</si>
  <si>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</si>
  <si>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</si>
  <si>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</si>
  <si>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</si>
  <si>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</si>
  <si>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</si>
  <si>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</si>
  <si>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</si>
  <si>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</si>
  <si>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</si>
  <si>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</si>
  <si>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</si>
  <si>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</si>
  <si>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</si>
  <si>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</si>
  <si>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</si>
  <si>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</si>
  <si>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</si>
  <si>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</si>
  <si>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</si>
  <si>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</si>
  <si>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</si>
  <si>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</si>
  <si>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</si>
  <si>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</si>
  <si>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</si>
  <si>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</si>
  <si>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</si>
  <si>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</si>
  <si>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</si>
  <si>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</si>
  <si>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</si>
  <si>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</si>
  <si>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</si>
  <si>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</si>
  <si>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</si>
  <si>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</si>
  <si>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</si>
  <si>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</si>
  <si>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</si>
  <si>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</si>
  <si>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</si>
  <si>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</si>
  <si>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</si>
  <si>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</si>
  <si>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</si>
  <si>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</si>
  <si>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$2,125,835.84 is comprised of an expenditure surplus of $3,110,801.52 and a revenue defecit of $984,965.68.</t>
  </si>
  <si>
    <t>6 Col. 6</t>
  </si>
  <si>
    <t>6 Col. 7</t>
  </si>
  <si>
    <t>6 Col. 8</t>
  </si>
  <si>
    <t>Varies</t>
  </si>
  <si>
    <t>2 Col. 9</t>
  </si>
  <si>
    <t>$31,421,064.63 reflects construction of the new elementary school.</t>
  </si>
  <si>
    <t>$439,659.74 is comprised of an expenditure deficit of $1,293.20 and a revenue surplus of $440,952.94.</t>
  </si>
  <si>
    <t>$187,467.18 is comprised of an expenditure defecit of $68,250.95 and a revenue surplus of $255,718.13.</t>
  </si>
  <si>
    <t>8 Col. 11</t>
  </si>
  <si>
    <t>Total transportation costs increased 56% from FY23 ($3,680,185.31 vs $2,360,233.66) primarily due to the change in</t>
  </si>
  <si>
    <t>contracted service provider for SPED from Durham to First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</si>
</sst>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8">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1" fontId="15" fillId="0" borderId="0" xfId="0" applyNumberFormat="1" applyFont="1" applyAlignment="1" applyProtection="1">
      <alignment horizontal="right"/>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0" xfId="0" quotePrefix="1" applyNumberFormat="1" applyFont="1" applyAlignment="1" applyProtection="1">
      <alignment horizontal="left"/>
      <protection locked="0"/>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1361</v>
      </c>
      <c r="B2">
        <f>INDEX('School Tables'!$AH$3:$AH$213,MATCH('DOE25'!A2,'School Tables'!$AJ$3:$AJ$213,0))</f>
        <v>461</v>
      </c>
      <c r="C2">
        <f>INDEX('School Tables'!$AI$3:$AI$213,MATCH('DOE25'!A2,'School Tables'!$AJ$3:$AJ$213,0))</f>
        <v>461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c r="G9" s="18"/>
      <c r="H9" s="18"/>
      <c r="I9" s="18">
        <v>34132177.240000002</v>
      </c>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v>-154545.21</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f>12036.11+199785.72</f>
        <v>211821.83000000002</v>
      </c>
      <c r="H14" s="18">
        <v>1626344.82</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41049.08</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1400000</v>
      </c>
      <c r="G18" s="18"/>
      <c r="H18" s="102"/>
      <c r="I18" s="18">
        <v>-1400000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1400000</v>
      </c>
      <c r="G19" s="38">
        <f>SUM(G9:G18)</f>
        <v>252870.91000000003</v>
      </c>
      <c r="H19" s="38">
        <f>SUM(H9:H18)</f>
        <v>1471799.61</v>
      </c>
      <c r="I19" s="38">
        <f>SUM(I9:I18)</f>
        <v>32732177.240000002</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f>-317172.23+187467.18+11024.85</f>
        <v>-118680.19999999998</v>
      </c>
      <c r="H22" s="18">
        <v>-743795.17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f>49330.12+312.45</f>
        <v>49642.57</v>
      </c>
      <c r="H24" s="18">
        <v>25598.75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17152.169999999998</v>
      </c>
      <c r="H30" s="18">
        <v>2189996.0299999998</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-51885.459999999977</v>
      </c>
      <c r="H32" s="38">
        <f>SUM(H22:H31)</f>
        <v>1471799.6099999999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12375.73</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f>34132177.24-1400000</f>
        <v>32732177.240000002</v>
      </c>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1400000</v>
      </c>
      <c r="G48" s="18">
        <f>479149.01-187467.18+698.81</f>
        <v>292380.64</v>
      </c>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1400000</v>
      </c>
      <c r="G51" s="38">
        <f>SUM(G35:G50)</f>
        <v>304756.37</v>
      </c>
      <c r="H51" s="38">
        <f>SUM(H35:H50)</f>
        <v>0</v>
      </c>
      <c r="I51" s="38">
        <f>SUM(I35:I50)</f>
        <v>32732177.240000002</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1400000</v>
      </c>
      <c r="G52" s="38">
        <f>G51+G32</f>
        <v>252870.91000000003</v>
      </c>
      <c r="H52" s="38">
        <f>H51+H32</f>
        <v>1471799.6099999999</v>
      </c>
      <c r="I52" s="38">
        <f>I51+I32</f>
        <v>32732177.240000002</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37071584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37071584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13405</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2698843.15</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57001.59</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43760.639999999999</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7201</v>
      </c>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2820211.38</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f>677862.84+82299+4113.4</f>
        <v>764275.24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v>1959335.42</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13500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222654.79</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878127+95243.03+0</f>
        <v>973370.03</v>
      </c>
      <c r="G110" s="18"/>
      <c r="H110" s="18"/>
      <c r="I110" s="18">
        <f>34132177.24-18805400.31-12615664.32-1400000</f>
        <v>1311112.6100000031</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1209524.82</v>
      </c>
      <c r="G111" s="38">
        <f>SUM(G96:G110)</f>
        <v>764275.24</v>
      </c>
      <c r="H111" s="38">
        <f>SUM(H96:H110)</f>
        <v>1959335.42</v>
      </c>
      <c r="I111" s="38">
        <f>SUM(I96:I110)</f>
        <v>1311112.6100000031</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41101320.200000003</v>
      </c>
      <c r="G112" s="38">
        <f>G60+G111</f>
        <v>764275.24</v>
      </c>
      <c r="H112" s="38">
        <f>H60+H79+H94+H111</f>
        <v>1959335.42</v>
      </c>
      <c r="I112" s="38">
        <f>I60+I111</f>
        <v>1311112.6100000031</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f>23614262.7+1400000</f>
        <v>25014262.699999999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5482601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45118.43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30541982.129999999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56326.74</v>
      </c>
      <c r="G123" s="23" t="s">
        <v>288</v>
      </c>
      <c r="H123" s="23" t="s">
        <v>288</v>
      </c>
      <c r="I123" s="18">
        <v>12615664.32</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728755.18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81757.119999999995</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15504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21328.73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v>68006.63</v>
      </c>
      <c r="H135" s="18">
        <f>9645.95+2200</f>
        <v>11845.95</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882343.04</v>
      </c>
      <c r="G136" s="38">
        <f>SUM(G123:G135)</f>
        <v>89335.360000000001</v>
      </c>
      <c r="H136" s="38">
        <f>SUM(H123:H135)</f>
        <v>11845.95</v>
      </c>
      <c r="I136" s="38">
        <f>SUM(I123:I135)</f>
        <v>12615664.32</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31424325.169999998</v>
      </c>
      <c r="G140" s="38">
        <f>G121+SUM(G136:G137)</f>
        <v>89335.360000000001</v>
      </c>
      <c r="H140" s="38">
        <f>H121+SUM(H136:H139)</f>
        <v>11845.95</v>
      </c>
      <c r="I140" s="38">
        <f>I121+I136</f>
        <v>12615664.32</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86642.18</v>
      </c>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86642.18</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1379820.88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508351.96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176079.74</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14129.56</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1022529.79+159533.37</f>
        <v>1182063.1600000001</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1204867.07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363236.07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233216.7</v>
      </c>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6445515.2199999997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596452.77</v>
      </c>
      <c r="G163" s="38">
        <f>SUM(G150:G162)</f>
        <v>1182063.1600000001</v>
      </c>
      <c r="H163" s="38">
        <f>SUM(H150:H162)</f>
        <v>9728764.4299999997</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683094.95</v>
      </c>
      <c r="G170" s="38">
        <f>G147+G163+SUM(G164:G169)</f>
        <v>1182063.1600000001</v>
      </c>
      <c r="H170" s="38">
        <f>H147+H163+SUM(H164:H169)</f>
        <v>9728764.4299999997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f>31421064.63-12615664.32</f>
        <v>18805400.309999999</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18805400.309999999</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188051</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188051</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188051</v>
      </c>
      <c r="H193" s="38">
        <f>+H184+SUM(H189:H192)</f>
        <v>0</v>
      </c>
      <c r="I193" s="38">
        <f>I178+I184+SUM(I189:I192)</f>
        <v>18805400.309999999</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73208740.320000008</v>
      </c>
      <c r="G194" s="38">
        <f>G112+G140+G170+G193</f>
        <v>2223724.7600000002</v>
      </c>
      <c r="H194" s="38">
        <f>H112+H140+H170+H193</f>
        <v>11699945.799999999</v>
      </c>
      <c r="I194" s="38">
        <f>I112+I140+I170+I193</f>
        <v>32732177.240000002</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7698914.6699999999</v>
      </c>
      <c r="G198" s="18">
        <v>3558963.94</v>
      </c>
      <c r="H198" s="18">
        <v>121634.52</v>
      </c>
      <c r="I198" s="18">
        <v>183597.66</v>
      </c>
      <c r="J198" s="18">
        <v>54612.85</v>
      </c>
      <c r="K198" s="18">
        <v>0</v>
      </c>
      <c r="L198" s="13">
        <f>SUM(F198:K198)</f>
        <v>11617723.639999999</v>
      </c>
      <c r="M198" s="8"/>
      <c r="N198" s="164"/>
    </row>
    <row r="199" spans="1:14" s="3" customFormat="1" ht="12.2" customHeight="1" x14ac:dyDescent="0.15">
      <c r="A199" s="1" t="s">
        <v>439</v>
      </c>
      <c r="B199" s="2" t="s">
        <v>341</v>
      </c>
      <c r="C199" s="2" t="s">
        <v>291</v>
      </c>
      <c r="D199" s="2" t="s">
        <v>431</v>
      </c>
      <c r="E199" s="6">
        <v>1200</v>
      </c>
      <c r="F199" s="18">
        <v>5004541.8</v>
      </c>
      <c r="G199" s="18">
        <v>1909947.25</v>
      </c>
      <c r="H199" s="18">
        <v>2838700.21</v>
      </c>
      <c r="I199" s="18">
        <v>55782.74</v>
      </c>
      <c r="J199" s="18">
        <v>0</v>
      </c>
      <c r="K199" s="18">
        <v>1700</v>
      </c>
      <c r="L199" s="13">
        <f>SUM(F199:K199)</f>
        <v>9810672</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2625</v>
      </c>
      <c r="G201" s="18">
        <v>715.62</v>
      </c>
      <c r="H201" s="18">
        <v>0</v>
      </c>
      <c r="I201" s="18">
        <v>0</v>
      </c>
      <c r="J201" s="18">
        <v>0</v>
      </c>
      <c r="K201" s="18">
        <v>0</v>
      </c>
      <c r="L201" s="13">
        <f>SUM(F201:K201)</f>
        <v>3340.62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771478.62</v>
      </c>
      <c r="G203" s="18">
        <v>348336.9</v>
      </c>
      <c r="H203" s="18">
        <v>0</v>
      </c>
      <c r="I203" s="18">
        <v>10556.61</v>
      </c>
      <c r="J203" s="18">
        <v>3275.14</v>
      </c>
      <c r="K203" s="18">
        <v>0</v>
      </c>
      <c r="L203" s="13">
        <f t="shared" ref="L203:L209" si="0">SUM(F203:K203)</f>
        <v>1133647.27</v>
      </c>
      <c r="M203" s="8"/>
      <c r="N203" s="164"/>
    </row>
    <row r="204" spans="1:14" s="3" customFormat="1" ht="12.2" customHeight="1" x14ac:dyDescent="0.15">
      <c r="A204" s="1" t="s">
        <v>443</v>
      </c>
      <c r="B204" s="2" t="s">
        <v>341</v>
      </c>
      <c r="C204" s="2" t="s">
        <v>295</v>
      </c>
      <c r="D204" s="2" t="s">
        <v>431</v>
      </c>
      <c r="E204" s="6">
        <v>2200</v>
      </c>
      <c r="F204" s="18">
        <v>286807.09000000003</v>
      </c>
      <c r="G204" s="18">
        <v>193455.11</v>
      </c>
      <c r="H204" s="18">
        <v>241302.07</v>
      </c>
      <c r="I204" s="18">
        <v>78317.490000000005</v>
      </c>
      <c r="J204" s="18">
        <v>26736.47</v>
      </c>
      <c r="K204" s="18">
        <v>606.35</v>
      </c>
      <c r="L204" s="13">
        <f t="shared" si="0"/>
        <v>827224.58</v>
      </c>
      <c r="M204" s="8"/>
      <c r="N204" s="164"/>
    </row>
    <row r="205" spans="1:14" s="3" customFormat="1" ht="12.2" customHeight="1" x14ac:dyDescent="0.15">
      <c r="A205" s="1" t="s">
        <v>444</v>
      </c>
      <c r="B205" s="2" t="s">
        <v>341</v>
      </c>
      <c r="C205" s="2" t="s">
        <v>296</v>
      </c>
      <c r="D205" s="2" t="s">
        <v>431</v>
      </c>
      <c r="E205" s="6">
        <v>2300</v>
      </c>
      <c r="F205" s="18">
        <v>583364.37</v>
      </c>
      <c r="G205" s="18">
        <v>224752.45</v>
      </c>
      <c r="H205" s="18">
        <v>166636.19</v>
      </c>
      <c r="I205" s="18">
        <v>160015.6</v>
      </c>
      <c r="J205" s="18">
        <v>0</v>
      </c>
      <c r="K205" s="18">
        <v>31620.14</v>
      </c>
      <c r="L205" s="13">
        <f t="shared" si="0"/>
        <v>1166388.75</v>
      </c>
      <c r="M205" s="8"/>
      <c r="N205" s="164"/>
    </row>
    <row r="206" spans="1:14" s="3" customFormat="1" ht="12.2" customHeight="1" x14ac:dyDescent="0.15">
      <c r="A206" s="1" t="s">
        <v>445</v>
      </c>
      <c r="B206" s="2" t="s">
        <v>341</v>
      </c>
      <c r="C206" s="2" t="s">
        <v>297</v>
      </c>
      <c r="D206" s="2" t="s">
        <v>431</v>
      </c>
      <c r="E206" s="6">
        <v>2400</v>
      </c>
      <c r="F206" s="18">
        <v>1334719.3999999999</v>
      </c>
      <c r="G206" s="18">
        <v>553280.1</v>
      </c>
      <c r="H206" s="18">
        <v>232.21</v>
      </c>
      <c r="I206" s="18">
        <v>9302.93</v>
      </c>
      <c r="J206" s="18">
        <v>0</v>
      </c>
      <c r="K206" s="18">
        <v>5291</v>
      </c>
      <c r="L206" s="13">
        <f t="shared" si="0"/>
        <v>1902825.64</v>
      </c>
      <c r="M206" s="8"/>
      <c r="N206" s="164"/>
    </row>
    <row r="207" spans="1:14" s="3" customFormat="1" ht="12.2" customHeight="1" x14ac:dyDescent="0.15">
      <c r="A207" s="1" t="s">
        <v>446</v>
      </c>
      <c r="B207" s="2" t="s">
        <v>341</v>
      </c>
      <c r="C207" s="2" t="s">
        <v>298</v>
      </c>
      <c r="D207" s="2" t="s">
        <v>431</v>
      </c>
      <c r="E207" s="6">
        <v>2500</v>
      </c>
      <c r="F207" s="18">
        <v>164252.07999999999</v>
      </c>
      <c r="G207" s="18">
        <v>82570.38</v>
      </c>
      <c r="H207" s="18">
        <v>16642.919999999998</v>
      </c>
      <c r="I207" s="18">
        <v>3436.7</v>
      </c>
      <c r="J207" s="18">
        <v>0</v>
      </c>
      <c r="K207" s="18">
        <v>67.62</v>
      </c>
      <c r="L207" s="13">
        <f t="shared" si="0"/>
        <v>266969.7</v>
      </c>
      <c r="M207" s="8"/>
      <c r="N207" s="164"/>
    </row>
    <row r="208" spans="1:14" s="3" customFormat="1" ht="12.2" customHeight="1" x14ac:dyDescent="0.15">
      <c r="A208" s="1" t="s">
        <v>447</v>
      </c>
      <c r="B208" s="2" t="s">
        <v>341</v>
      </c>
      <c r="C208" s="2" t="s">
        <v>299</v>
      </c>
      <c r="D208" s="2" t="s">
        <v>431</v>
      </c>
      <c r="E208" s="6">
        <v>2600</v>
      </c>
      <c r="F208" s="18">
        <v>897157.5</v>
      </c>
      <c r="G208" s="18">
        <v>390764.19</v>
      </c>
      <c r="H208" s="18">
        <v>619204.31000000006</v>
      </c>
      <c r="I208" s="18">
        <v>581037.05000000005</v>
      </c>
      <c r="J208" s="18">
        <v>87561.01</v>
      </c>
      <c r="K208" s="18">
        <v>856.39</v>
      </c>
      <c r="L208" s="13">
        <f t="shared" si="0"/>
        <v>2576580.4499999997</v>
      </c>
      <c r="M208" s="8"/>
      <c r="N208" s="164"/>
    </row>
    <row r="209" spans="1:14" s="3" customFormat="1" ht="12.2" customHeight="1" x14ac:dyDescent="0.15">
      <c r="A209" s="1" t="s">
        <v>448</v>
      </c>
      <c r="B209" s="2" t="s">
        <v>341</v>
      </c>
      <c r="C209" s="2" t="s">
        <v>300</v>
      </c>
      <c r="D209" s="2" t="s">
        <v>431</v>
      </c>
      <c r="E209" s="6">
        <v>2700</v>
      </c>
      <c r="F209" s="18">
        <v>0</v>
      </c>
      <c r="G209" s="18">
        <v>0</v>
      </c>
      <c r="H209" s="18">
        <v>1260433.8899999999</v>
      </c>
      <c r="I209" s="18">
        <v>0</v>
      </c>
      <c r="J209" s="18">
        <v>0</v>
      </c>
      <c r="K209" s="18">
        <v>0</v>
      </c>
      <c r="L209" s="13">
        <f t="shared" si="0"/>
        <v>1260433.8899999999</v>
      </c>
      <c r="M209" s="8"/>
      <c r="N209" s="164"/>
    </row>
    <row r="210" spans="1:14" s="3" customFormat="1" ht="12.2" customHeight="1" x14ac:dyDescent="0.15">
      <c r="A210" s="1" t="s">
        <v>449</v>
      </c>
      <c r="B210" s="2" t="s">
        <v>341</v>
      </c>
      <c r="C210" s="2" t="s">
        <v>343</v>
      </c>
      <c r="D210" s="2" t="s">
        <v>431</v>
      </c>
      <c r="E210" s="6">
        <v>2800</v>
      </c>
      <c r="F210" s="18">
        <v>0</v>
      </c>
      <c r="G210" s="18">
        <v>2696.19</v>
      </c>
      <c r="H210" s="18">
        <v>0</v>
      </c>
      <c r="I210" s="18">
        <v>82299</v>
      </c>
      <c r="J210" s="18">
        <v>0</v>
      </c>
      <c r="K210" s="18">
        <v>0</v>
      </c>
      <c r="L210" s="13">
        <f>SUM(F210:K210)</f>
        <v>84995.19</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16743860.529999997</v>
      </c>
      <c r="G212" s="38">
        <f t="shared" si="1"/>
        <v>7265482.1300000008</v>
      </c>
      <c r="H212" s="38">
        <f t="shared" si="1"/>
        <v>5264786.3199999994</v>
      </c>
      <c r="I212" s="38">
        <f t="shared" si="1"/>
        <v>1164345.78</v>
      </c>
      <c r="J212" s="38">
        <f t="shared" si="1"/>
        <v>172185.46999999997</v>
      </c>
      <c r="K212" s="38">
        <f t="shared" si="1"/>
        <v>40141.5</v>
      </c>
      <c r="L212" s="38">
        <f t="shared" si="1"/>
        <v>30650801.73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3143392.71</v>
      </c>
      <c r="G216" s="18">
        <v>1327114.6399999999</v>
      </c>
      <c r="H216" s="18">
        <v>54747.37</v>
      </c>
      <c r="I216" s="18">
        <v>60395.87</v>
      </c>
      <c r="J216" s="18">
        <v>2994.16</v>
      </c>
      <c r="K216" s="18">
        <v>0</v>
      </c>
      <c r="L216" s="13">
        <f>SUM(F216:K216)</f>
        <v>4588644.75</v>
      </c>
      <c r="M216" s="8"/>
      <c r="N216" s="164"/>
    </row>
    <row r="217" spans="1:14" s="3" customFormat="1" ht="12.2" customHeight="1" x14ac:dyDescent="0.15">
      <c r="A217" s="1" t="s">
        <v>439</v>
      </c>
      <c r="B217" s="2" t="s">
        <v>346</v>
      </c>
      <c r="C217" s="2" t="s">
        <v>291</v>
      </c>
      <c r="D217" s="2" t="s">
        <v>431</v>
      </c>
      <c r="E217" s="6">
        <v>1200</v>
      </c>
      <c r="F217" s="18">
        <v>820500.04</v>
      </c>
      <c r="G217" s="18">
        <v>409732.82</v>
      </c>
      <c r="H217" s="18">
        <v>2892833.34</v>
      </c>
      <c r="I217" s="18">
        <v>3935.17</v>
      </c>
      <c r="J217" s="18">
        <v>0</v>
      </c>
      <c r="K217" s="18">
        <v>1410</v>
      </c>
      <c r="L217" s="13">
        <f>SUM(F217:K217)</f>
        <v>4128411.37</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37812.17</v>
      </c>
      <c r="G219" s="18">
        <v>10275.81</v>
      </c>
      <c r="H219" s="18">
        <v>4495.33</v>
      </c>
      <c r="I219" s="18">
        <v>4777.01</v>
      </c>
      <c r="J219" s="18">
        <v>530</v>
      </c>
      <c r="K219" s="18">
        <v>4762.22</v>
      </c>
      <c r="L219" s="13">
        <f>SUM(F219:K219)</f>
        <v>62652.54</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394452.84</v>
      </c>
      <c r="G221" s="18">
        <v>165179.56</v>
      </c>
      <c r="H221" s="18">
        <v>0</v>
      </c>
      <c r="I221" s="18">
        <v>5148.41</v>
      </c>
      <c r="J221" s="18">
        <v>1597.28</v>
      </c>
      <c r="K221" s="18">
        <v>0</v>
      </c>
      <c r="L221" s="13">
        <f t="shared" ref="L221:L227" si="2">SUM(F221:K221)</f>
        <v>566378.09000000008</v>
      </c>
      <c r="M221" s="8"/>
      <c r="N221" s="164"/>
    </row>
    <row r="222" spans="1:14" s="3" customFormat="1" ht="12.2" customHeight="1" x14ac:dyDescent="0.15">
      <c r="A222" s="1" t="s">
        <v>443</v>
      </c>
      <c r="B222" s="2" t="s">
        <v>346</v>
      </c>
      <c r="C222" s="2" t="s">
        <v>295</v>
      </c>
      <c r="D222" s="2" t="s">
        <v>431</v>
      </c>
      <c r="E222" s="6">
        <v>2200</v>
      </c>
      <c r="F222" s="18">
        <v>176545.06</v>
      </c>
      <c r="G222" s="18">
        <v>136114.73000000001</v>
      </c>
      <c r="H222" s="18">
        <v>117681.86</v>
      </c>
      <c r="I222" s="18">
        <v>41574.629999999997</v>
      </c>
      <c r="J222" s="18">
        <v>13039.25</v>
      </c>
      <c r="K222" s="18">
        <v>295.72000000000003</v>
      </c>
      <c r="L222" s="13">
        <f t="shared" si="2"/>
        <v>485251.25</v>
      </c>
      <c r="M222" s="8"/>
      <c r="N222" s="164"/>
    </row>
    <row r="223" spans="1:14" s="3" customFormat="1" ht="12.2" customHeight="1" x14ac:dyDescent="0.15">
      <c r="A223" s="1" t="s">
        <v>444</v>
      </c>
      <c r="B223" s="2" t="s">
        <v>346</v>
      </c>
      <c r="C223" s="2" t="s">
        <v>296</v>
      </c>
      <c r="D223" s="2" t="s">
        <v>431</v>
      </c>
      <c r="E223" s="6">
        <v>2300</v>
      </c>
      <c r="F223" s="18">
        <v>284504.01</v>
      </c>
      <c r="G223" s="18">
        <v>109610.71</v>
      </c>
      <c r="H223" s="18">
        <v>81267.66</v>
      </c>
      <c r="I223" s="18">
        <v>78038.84</v>
      </c>
      <c r="J223" s="18">
        <v>0</v>
      </c>
      <c r="K223" s="18">
        <v>15420.99</v>
      </c>
      <c r="L223" s="13">
        <f t="shared" si="2"/>
        <v>568842.21</v>
      </c>
      <c r="M223" s="8"/>
      <c r="N223" s="164"/>
    </row>
    <row r="224" spans="1:14" s="3" customFormat="1" ht="12.2" customHeight="1" x14ac:dyDescent="0.15">
      <c r="A224" s="1" t="s">
        <v>445</v>
      </c>
      <c r="B224" s="2" t="s">
        <v>346</v>
      </c>
      <c r="C224" s="2" t="s">
        <v>297</v>
      </c>
      <c r="D224" s="2" t="s">
        <v>431</v>
      </c>
      <c r="E224" s="6">
        <v>2400</v>
      </c>
      <c r="F224" s="18">
        <v>472632.37</v>
      </c>
      <c r="G224" s="18">
        <v>189043.96</v>
      </c>
      <c r="H224" s="18">
        <v>8000</v>
      </c>
      <c r="I224" s="18">
        <v>6569.97</v>
      </c>
      <c r="J224" s="18">
        <v>1224.93</v>
      </c>
      <c r="K224" s="18">
        <v>1058</v>
      </c>
      <c r="L224" s="13">
        <f t="shared" si="2"/>
        <v>678529.23</v>
      </c>
      <c r="M224" s="8"/>
      <c r="N224" s="164"/>
    </row>
    <row r="225" spans="1:14" s="3" customFormat="1" ht="12.2" customHeight="1" x14ac:dyDescent="0.15">
      <c r="A225" s="1" t="s">
        <v>446</v>
      </c>
      <c r="B225" s="2" t="s">
        <v>346</v>
      </c>
      <c r="C225" s="2" t="s">
        <v>298</v>
      </c>
      <c r="D225" s="2" t="s">
        <v>431</v>
      </c>
      <c r="E225" s="6">
        <v>2500</v>
      </c>
      <c r="F225" s="18">
        <v>80104.960000000006</v>
      </c>
      <c r="G225" s="18">
        <v>40269.160000000003</v>
      </c>
      <c r="H225" s="18">
        <v>8116.67</v>
      </c>
      <c r="I225" s="18">
        <v>1676.06</v>
      </c>
      <c r="J225" s="18">
        <v>0</v>
      </c>
      <c r="K225" s="18">
        <v>32.979999999999997</v>
      </c>
      <c r="L225" s="13">
        <f t="shared" si="2"/>
        <v>130199.83</v>
      </c>
      <c r="M225" s="8"/>
      <c r="N225" s="164"/>
    </row>
    <row r="226" spans="1:14" s="3" customFormat="1" ht="12.2" customHeight="1" x14ac:dyDescent="0.15">
      <c r="A226" s="1" t="s">
        <v>447</v>
      </c>
      <c r="B226" s="2" t="s">
        <v>346</v>
      </c>
      <c r="C226" s="2" t="s">
        <v>299</v>
      </c>
      <c r="D226" s="2" t="s">
        <v>431</v>
      </c>
      <c r="E226" s="6">
        <v>2600</v>
      </c>
      <c r="F226" s="18">
        <v>468095.92</v>
      </c>
      <c r="G226" s="18">
        <v>160428.35999999999</v>
      </c>
      <c r="H226" s="18">
        <v>371591.38</v>
      </c>
      <c r="I226" s="18">
        <v>296557.37</v>
      </c>
      <c r="J226" s="18">
        <v>36482.9</v>
      </c>
      <c r="K226" s="18">
        <v>563.04</v>
      </c>
      <c r="L226" s="13">
        <f t="shared" si="2"/>
        <v>1333718.97</v>
      </c>
      <c r="M226" s="8"/>
      <c r="N226" s="164"/>
    </row>
    <row r="227" spans="1:14" s="3" customFormat="1" ht="12.2" customHeight="1" x14ac:dyDescent="0.15">
      <c r="A227" s="1" t="s">
        <v>448</v>
      </c>
      <c r="B227" s="2" t="s">
        <v>346</v>
      </c>
      <c r="C227" s="2" t="s">
        <v>300</v>
      </c>
      <c r="D227" s="2" t="s">
        <v>431</v>
      </c>
      <c r="E227" s="6">
        <v>2700</v>
      </c>
      <c r="F227" s="18">
        <v>0</v>
      </c>
      <c r="G227" s="18">
        <v>0</v>
      </c>
      <c r="H227" s="18">
        <v>949910.67</v>
      </c>
      <c r="I227" s="18">
        <v>0</v>
      </c>
      <c r="J227" s="18">
        <v>0</v>
      </c>
      <c r="K227" s="18">
        <v>0</v>
      </c>
      <c r="L227" s="13">
        <f t="shared" si="2"/>
        <v>949910.67</v>
      </c>
      <c r="M227" s="8"/>
      <c r="N227" s="164"/>
    </row>
    <row r="228" spans="1:14" s="3" customFormat="1" ht="12.2" customHeight="1" x14ac:dyDescent="0.15">
      <c r="A228" s="1" t="s">
        <v>449</v>
      </c>
      <c r="B228" s="2" t="s">
        <v>346</v>
      </c>
      <c r="C228" s="2" t="s">
        <v>343</v>
      </c>
      <c r="D228" s="2" t="s">
        <v>431</v>
      </c>
      <c r="E228" s="6">
        <v>2800</v>
      </c>
      <c r="F228" s="18">
        <v>0</v>
      </c>
      <c r="G228" s="18">
        <v>1314.92</v>
      </c>
      <c r="H228" s="18">
        <v>0</v>
      </c>
      <c r="I228" s="18">
        <v>0</v>
      </c>
      <c r="J228" s="18">
        <v>0</v>
      </c>
      <c r="K228" s="18">
        <v>0</v>
      </c>
      <c r="L228" s="13">
        <f>SUM(F228:K228)</f>
        <v>1314.92</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5878040.0799999991</v>
      </c>
      <c r="G230" s="38">
        <f>SUM(G216:G229)</f>
        <v>2549084.67</v>
      </c>
      <c r="H230" s="38">
        <f>SUM(H216:H229)</f>
        <v>4488644.28</v>
      </c>
      <c r="I230" s="38">
        <f>SUM(I216:I229)</f>
        <v>498673.32999999996</v>
      </c>
      <c r="J230" s="38">
        <f>SUM(J216:J229)</f>
        <v>55868.520000000004</v>
      </c>
      <c r="K230" s="38">
        <f t="shared" si="3"/>
        <v>23542.95</v>
      </c>
      <c r="L230" s="38">
        <f t="shared" si="3"/>
        <v>13493853.830000002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5051511.6100000003</v>
      </c>
      <c r="G234" s="18">
        <v>2204072.37</v>
      </c>
      <c r="H234" s="18">
        <v>96258.62</v>
      </c>
      <c r="I234" s="18">
        <v>114584.14</v>
      </c>
      <c r="J234" s="18">
        <v>159073.84</v>
      </c>
      <c r="K234" s="18">
        <v>32683.48</v>
      </c>
      <c r="L234" s="13">
        <f>SUM(F234:K234)</f>
        <v>7658184.0600000005</v>
      </c>
      <c r="M234" s="8"/>
      <c r="N234" s="164"/>
    </row>
    <row r="235" spans="1:14" s="3" customFormat="1" ht="12.2" customHeight="1" x14ac:dyDescent="0.15">
      <c r="A235" s="1" t="s">
        <v>439</v>
      </c>
      <c r="B235" s="2" t="s">
        <v>350</v>
      </c>
      <c r="C235" s="2" t="s">
        <v>291</v>
      </c>
      <c r="D235" s="2" t="s">
        <v>431</v>
      </c>
      <c r="E235" s="6">
        <v>1200</v>
      </c>
      <c r="F235" s="18">
        <v>875342.15</v>
      </c>
      <c r="G235" s="18">
        <v>368956.97</v>
      </c>
      <c r="H235" s="18">
        <v>3654603.79</v>
      </c>
      <c r="I235" s="18">
        <v>8279.85</v>
      </c>
      <c r="J235" s="18">
        <v>0</v>
      </c>
      <c r="K235" s="18">
        <v>1005</v>
      </c>
      <c r="L235" s="13">
        <f>SUM(F235:K235)</f>
        <v>4908187.76</v>
      </c>
      <c r="M235" s="8"/>
      <c r="N235" s="164"/>
    </row>
    <row r="236" spans="1:14" s="3" customFormat="1" ht="12.2" customHeight="1" x14ac:dyDescent="0.15">
      <c r="A236" s="1" t="s">
        <v>440</v>
      </c>
      <c r="B236" s="2" t="s">
        <v>350</v>
      </c>
      <c r="C236" s="2" t="s">
        <v>292</v>
      </c>
      <c r="D236" s="2" t="s">
        <v>431</v>
      </c>
      <c r="E236" s="6">
        <v>1300</v>
      </c>
      <c r="F236" s="18">
        <v>1179447.48</v>
      </c>
      <c r="G236" s="18">
        <v>516741.35</v>
      </c>
      <c r="H236" s="18">
        <v>148814.29</v>
      </c>
      <c r="I236" s="18">
        <v>34725.74</v>
      </c>
      <c r="J236" s="18">
        <v>0</v>
      </c>
      <c r="K236" s="18">
        <v>0</v>
      </c>
      <c r="L236" s="13">
        <f>SUM(F236:K236)</f>
        <v>1879728.86</v>
      </c>
      <c r="M236" s="8"/>
      <c r="N236" s="164"/>
    </row>
    <row r="237" spans="1:14" s="3" customFormat="1" ht="12.2" customHeight="1" x14ac:dyDescent="0.15">
      <c r="A237" s="1" t="s">
        <v>441</v>
      </c>
      <c r="B237" s="2" t="s">
        <v>350</v>
      </c>
      <c r="C237" s="2" t="s">
        <v>293</v>
      </c>
      <c r="D237" s="2" t="s">
        <v>431</v>
      </c>
      <c r="E237" s="6">
        <v>1400</v>
      </c>
      <c r="F237" s="18">
        <v>336386.26</v>
      </c>
      <c r="G237" s="18">
        <v>90755.49</v>
      </c>
      <c r="H237" s="18">
        <v>40457.89</v>
      </c>
      <c r="I237" s="18">
        <v>42993.22</v>
      </c>
      <c r="J237" s="18">
        <v>4770</v>
      </c>
      <c r="K237" s="18">
        <v>42860</v>
      </c>
      <c r="L237" s="13">
        <f>SUM(F237:K237)</f>
        <v>558222.86</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806520.79</v>
      </c>
      <c r="G239" s="18">
        <v>365229.68</v>
      </c>
      <c r="H239" s="18">
        <v>1517.9</v>
      </c>
      <c r="I239" s="18">
        <v>11973.38</v>
      </c>
      <c r="J239" s="18">
        <v>2877.58</v>
      </c>
      <c r="K239" s="18">
        <v>25</v>
      </c>
      <c r="L239" s="13">
        <f t="shared" ref="L239:L245" si="4">SUM(F239:K239)</f>
        <v>1188144.3299999998</v>
      </c>
      <c r="M239" s="8"/>
      <c r="N239" s="164"/>
    </row>
    <row r="240" spans="1:14" s="3" customFormat="1" ht="12.2" customHeight="1" x14ac:dyDescent="0.15">
      <c r="A240" s="1" t="s">
        <v>443</v>
      </c>
      <c r="B240" s="2" t="s">
        <v>350</v>
      </c>
      <c r="C240" s="2" t="s">
        <v>295</v>
      </c>
      <c r="D240" s="2" t="s">
        <v>431</v>
      </c>
      <c r="E240" s="6">
        <v>2200</v>
      </c>
      <c r="F240" s="18">
        <v>252254.59</v>
      </c>
      <c r="G240" s="18">
        <v>168718.65</v>
      </c>
      <c r="H240" s="18">
        <v>212010.07</v>
      </c>
      <c r="I240" s="18">
        <v>59040.14</v>
      </c>
      <c r="J240" s="18">
        <v>26483.89</v>
      </c>
      <c r="K240" s="18">
        <v>532.75</v>
      </c>
      <c r="L240" s="13">
        <f t="shared" si="4"/>
        <v>719040.09000000008</v>
      </c>
      <c r="M240" s="8"/>
      <c r="N240" s="164"/>
    </row>
    <row r="241" spans="1:14" s="3" customFormat="1" ht="12.2" customHeight="1" x14ac:dyDescent="0.15">
      <c r="A241" s="1" t="s">
        <v>444</v>
      </c>
      <c r="B241" s="2" t="s">
        <v>350</v>
      </c>
      <c r="C241" s="2" t="s">
        <v>296</v>
      </c>
      <c r="D241" s="2" t="s">
        <v>431</v>
      </c>
      <c r="E241" s="6">
        <v>2300</v>
      </c>
      <c r="F241" s="18">
        <v>680071.24</v>
      </c>
      <c r="G241" s="18">
        <v>278894.23</v>
      </c>
      <c r="H241" s="18">
        <v>146407.99</v>
      </c>
      <c r="I241" s="18">
        <v>144064.84</v>
      </c>
      <c r="J241" s="18">
        <v>0</v>
      </c>
      <c r="K241" s="18">
        <v>27781.73</v>
      </c>
      <c r="L241" s="13">
        <f t="shared" si="4"/>
        <v>1277220.03</v>
      </c>
      <c r="M241" s="8"/>
      <c r="N241" s="164"/>
    </row>
    <row r="242" spans="1:14" s="3" customFormat="1" ht="12.2" customHeight="1" x14ac:dyDescent="0.15">
      <c r="A242" s="1" t="s">
        <v>445</v>
      </c>
      <c r="B242" s="2" t="s">
        <v>350</v>
      </c>
      <c r="C242" s="2" t="s">
        <v>297</v>
      </c>
      <c r="D242" s="2" t="s">
        <v>431</v>
      </c>
      <c r="E242" s="6">
        <v>2400</v>
      </c>
      <c r="F242" s="18">
        <v>810110.02</v>
      </c>
      <c r="G242" s="18">
        <v>317914.08</v>
      </c>
      <c r="H242" s="18">
        <v>28228.85</v>
      </c>
      <c r="I242" s="18">
        <v>25507.22</v>
      </c>
      <c r="J242" s="18">
        <v>17222.439999999999</v>
      </c>
      <c r="K242" s="18">
        <v>3648</v>
      </c>
      <c r="L242" s="13">
        <f t="shared" si="4"/>
        <v>1202630.6100000001</v>
      </c>
      <c r="M242" s="8"/>
      <c r="N242" s="164"/>
    </row>
    <row r="243" spans="1:14" s="3" customFormat="1" ht="12.2" customHeight="1" x14ac:dyDescent="0.15">
      <c r="A243" s="1" t="s">
        <v>446</v>
      </c>
      <c r="B243" s="2" t="s">
        <v>350</v>
      </c>
      <c r="C243" s="2" t="s">
        <v>298</v>
      </c>
      <c r="D243" s="2" t="s">
        <v>431</v>
      </c>
      <c r="E243" s="6">
        <v>2500</v>
      </c>
      <c r="F243" s="18">
        <v>144313.29999999999</v>
      </c>
      <c r="G243" s="18">
        <v>72547.039999999994</v>
      </c>
      <c r="H243" s="18">
        <v>14622.61</v>
      </c>
      <c r="I243" s="18">
        <v>3019.52</v>
      </c>
      <c r="J243" s="18">
        <v>0</v>
      </c>
      <c r="K243" s="18">
        <v>59.4</v>
      </c>
      <c r="L243" s="13">
        <f t="shared" si="4"/>
        <v>234561.86999999994</v>
      </c>
      <c r="M243" s="8"/>
      <c r="N243" s="164"/>
    </row>
    <row r="244" spans="1:14" s="3" customFormat="1" ht="12.2" customHeight="1" x14ac:dyDescent="0.15">
      <c r="A244" s="1" t="s">
        <v>447</v>
      </c>
      <c r="B244" s="2" t="s">
        <v>350</v>
      </c>
      <c r="C244" s="2" t="s">
        <v>299</v>
      </c>
      <c r="D244" s="2" t="s">
        <v>431</v>
      </c>
      <c r="E244" s="6">
        <v>2600</v>
      </c>
      <c r="F244" s="18">
        <v>762758.56</v>
      </c>
      <c r="G244" s="18">
        <v>318578.36</v>
      </c>
      <c r="H244" s="18">
        <v>648188.73</v>
      </c>
      <c r="I244" s="18">
        <v>643145.18000000005</v>
      </c>
      <c r="J244" s="18">
        <v>61315.81</v>
      </c>
      <c r="K244" s="18">
        <v>946.28</v>
      </c>
      <c r="L244" s="13">
        <f t="shared" si="4"/>
        <v>2434932.92</v>
      </c>
      <c r="M244" s="8"/>
      <c r="N244" s="164"/>
    </row>
    <row r="245" spans="1:14" s="3" customFormat="1" ht="12.2" customHeight="1" x14ac:dyDescent="0.15">
      <c r="A245" s="1" t="s">
        <v>448</v>
      </c>
      <c r="B245" s="2" t="s">
        <v>350</v>
      </c>
      <c r="C245" s="2" t="s">
        <v>300</v>
      </c>
      <c r="D245" s="2" t="s">
        <v>431</v>
      </c>
      <c r="E245" s="6">
        <v>2700</v>
      </c>
      <c r="F245" s="18">
        <v>0</v>
      </c>
      <c r="G245" s="18">
        <v>0</v>
      </c>
      <c r="H245" s="18">
        <v>1469840.75</v>
      </c>
      <c r="I245" s="18">
        <v>0</v>
      </c>
      <c r="J245" s="18">
        <v>0</v>
      </c>
      <c r="K245" s="18">
        <v>0</v>
      </c>
      <c r="L245" s="13">
        <f t="shared" si="4"/>
        <v>1469840.75</v>
      </c>
      <c r="M245" s="8"/>
      <c r="N245" s="164"/>
    </row>
    <row r="246" spans="1:14" s="3" customFormat="1" ht="12.2" customHeight="1" x14ac:dyDescent="0.15">
      <c r="A246" s="1" t="s">
        <v>449</v>
      </c>
      <c r="B246" s="2" t="s">
        <v>350</v>
      </c>
      <c r="C246" s="2" t="s">
        <v>343</v>
      </c>
      <c r="D246" s="2" t="s">
        <v>431</v>
      </c>
      <c r="E246" s="6">
        <v>2800</v>
      </c>
      <c r="F246" s="18">
        <v>0</v>
      </c>
      <c r="G246" s="18">
        <v>2368.89</v>
      </c>
      <c r="H246" s="18">
        <v>0</v>
      </c>
      <c r="I246" s="18">
        <v>0</v>
      </c>
      <c r="J246" s="18">
        <v>0</v>
      </c>
      <c r="K246" s="18">
        <v>0</v>
      </c>
      <c r="L246" s="13">
        <f>SUM(F246:K246)</f>
        <v>2368.89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10898716.000000002</v>
      </c>
      <c r="G248" s="38">
        <f t="shared" si="5"/>
        <v>4704777.1100000003</v>
      </c>
      <c r="H248" s="38">
        <f t="shared" si="5"/>
        <v>6460951.4900000002</v>
      </c>
      <c r="I248" s="38">
        <f t="shared" si="5"/>
        <v>1087333.23</v>
      </c>
      <c r="J248" s="38">
        <f t="shared" si="5"/>
        <v>271743.56</v>
      </c>
      <c r="K248" s="38">
        <f t="shared" si="5"/>
        <v>109541.63999999998</v>
      </c>
      <c r="L248" s="38">
        <f t="shared" si="5"/>
        <v>23533063.030000001</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33520616.609999999</v>
      </c>
      <c r="G258" s="38">
        <f t="shared" si="8"/>
        <v>14519343.91</v>
      </c>
      <c r="H258" s="38">
        <f t="shared" si="8"/>
        <v>16214382.09</v>
      </c>
      <c r="I258" s="38">
        <f t="shared" si="8"/>
        <v>2750352.34</v>
      </c>
      <c r="J258" s="38">
        <f t="shared" si="8"/>
        <v>499797.55</v>
      </c>
      <c r="K258" s="38">
        <f t="shared" si="8"/>
        <v>173226.08999999997</v>
      </c>
      <c r="L258" s="38">
        <f t="shared" si="8"/>
        <v>67677718.590000004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1363605.58</v>
      </c>
      <c r="L261" s="13">
        <f>SUM(F261:K261)</f>
        <v>1363605.58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453529.31</v>
      </c>
      <c r="L262" s="13">
        <f>SUM(F262:K262)</f>
        <v>453529.31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188051</f>
        <v>188051</v>
      </c>
      <c r="L264" s="13">
        <f>SUM(F264:K264)</f>
        <v>188051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2005185.8900000001</v>
      </c>
      <c r="L271" s="38">
        <f t="shared" si="9"/>
        <v>2005185.8900000001</v>
      </c>
      <c r="M271" s="8"/>
      <c r="N271" s="164"/>
    </row>
    <row r="272" spans="1:14" s="33" customFormat="1" ht="12.2" customHeight="1" thickTop="1" x14ac:dyDescent="0.2">
      <c r="A272" s="40" t="s">
        <v>464</v>
      </c>
      <c r="B272" s="37">
        <v>10</v>
      </c>
      <c r="C272" s="37">
        <v>18</v>
      </c>
      <c r="D272" s="36" t="s">
        <v>431</v>
      </c>
      <c r="E272" s="37"/>
      <c r="F272" s="39">
        <f t="shared" ref="F272:L272" si="11">F258+F271</f>
        <v>33520616.609999999</v>
      </c>
      <c r="G272" s="39">
        <f t="shared" si="11"/>
        <v>14519343.91</v>
      </c>
      <c r="H272" s="39">
        <f t="shared" si="11"/>
        <v>16214382.09</v>
      </c>
      <c r="I272" s="39">
        <f t="shared" si="11"/>
        <v>2750352.34</v>
      </c>
      <c r="J272" s="39">
        <f t="shared" si="11"/>
        <v>499797.55</v>
      </c>
      <c r="K272" s="39">
        <f t="shared" si="11"/>
        <v>2178411.98</v>
      </c>
      <c r="L272" s="39">
        <f t="shared" si="11"/>
        <v>69682904.480000004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879028.97</v>
      </c>
      <c r="G277" s="18">
        <v>321480.24</v>
      </c>
      <c r="H277" s="18">
        <v>15068.15</v>
      </c>
      <c r="I277" s="18">
        <v>598733.36</v>
      </c>
      <c r="J277" s="18">
        <v>25240.959999999999</v>
      </c>
      <c r="K277" s="18">
        <v>0</v>
      </c>
      <c r="L277" s="13">
        <f>SUM(F277:K277)</f>
        <v>1839551.6799999997</v>
      </c>
      <c r="M277" s="8"/>
      <c r="N277" s="164"/>
    </row>
    <row r="278" spans="1:14" s="3" customFormat="1" ht="12.2" customHeight="1" x14ac:dyDescent="0.15">
      <c r="A278" s="1" t="s">
        <v>439</v>
      </c>
      <c r="B278" s="2" t="s">
        <v>357</v>
      </c>
      <c r="C278" s="2" t="s">
        <v>291</v>
      </c>
      <c r="D278" s="2" t="s">
        <v>431</v>
      </c>
      <c r="E278" s="6">
        <v>1200</v>
      </c>
      <c r="F278" s="18">
        <v>277024.83</v>
      </c>
      <c r="G278" s="18">
        <v>112811.41</v>
      </c>
      <c r="H278" s="18">
        <v>112404.5</v>
      </c>
      <c r="I278" s="18">
        <v>21874.5</v>
      </c>
      <c r="J278" s="18">
        <v>3172.15</v>
      </c>
      <c r="K278" s="18">
        <v>0</v>
      </c>
      <c r="L278" s="13">
        <f>SUM(F278:K278)</f>
        <v>527287.39</v>
      </c>
      <c r="M278" s="8"/>
      <c r="N278" s="164"/>
    </row>
    <row r="279" spans="1:14" s="3" customFormat="1" ht="12.2" customHeight="1" x14ac:dyDescent="0.15">
      <c r="A279" s="1" t="s">
        <v>440</v>
      </c>
      <c r="B279" s="2" t="s">
        <v>357</v>
      </c>
      <c r="C279" s="2" t="s">
        <v>292</v>
      </c>
      <c r="D279" s="2" t="s">
        <v>431</v>
      </c>
      <c r="E279" s="6">
        <v>1300</v>
      </c>
      <c r="F279" s="18">
        <v>0</v>
      </c>
      <c r="G279" s="18">
        <v>0</v>
      </c>
      <c r="H279" s="18">
        <v>929.72</v>
      </c>
      <c r="I279" s="18">
        <v>0</v>
      </c>
      <c r="J279" s="18">
        <v>0</v>
      </c>
      <c r="K279" s="18">
        <v>0</v>
      </c>
      <c r="L279" s="13">
        <f>SUM(F279:K279)</f>
        <v>929.72</v>
      </c>
      <c r="M279" s="8"/>
      <c r="N279" s="164"/>
    </row>
    <row r="280" spans="1:14" s="3" customFormat="1" ht="12.2" customHeight="1" x14ac:dyDescent="0.15">
      <c r="A280" s="1" t="s">
        <v>441</v>
      </c>
      <c r="B280" s="2" t="s">
        <v>357</v>
      </c>
      <c r="C280" s="2" t="s">
        <v>293</v>
      </c>
      <c r="D280" s="2" t="s">
        <v>431</v>
      </c>
      <c r="E280" s="6">
        <v>1400</v>
      </c>
      <c r="F280" s="18">
        <v>4653.7</v>
      </c>
      <c r="G280" s="18">
        <v>1041.8599999999999</v>
      </c>
      <c r="H280" s="18">
        <v>0</v>
      </c>
      <c r="I280" s="18">
        <v>780.66</v>
      </c>
      <c r="J280" s="18">
        <v>0</v>
      </c>
      <c r="K280" s="18">
        <v>0</v>
      </c>
      <c r="L280" s="13">
        <f>SUM(F280:K280)</f>
        <v>6476.2199999999993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159258.65</v>
      </c>
      <c r="G282" s="18">
        <v>35326.400000000001</v>
      </c>
      <c r="H282" s="18">
        <v>22192.799999999999</v>
      </c>
      <c r="I282" s="18">
        <v>5988.26</v>
      </c>
      <c r="J282" s="18">
        <v>0</v>
      </c>
      <c r="K282" s="18">
        <v>995.22</v>
      </c>
      <c r="L282" s="13">
        <f t="shared" ref="L282:L288" si="12">SUM(F282:K282)</f>
        <v>223761.33</v>
      </c>
      <c r="M282" s="8"/>
      <c r="N282" s="164"/>
    </row>
    <row r="283" spans="1:14" s="3" customFormat="1" ht="12.2" customHeight="1" x14ac:dyDescent="0.15">
      <c r="A283" s="1" t="s">
        <v>443</v>
      </c>
      <c r="B283" s="2" t="s">
        <v>357</v>
      </c>
      <c r="C283" s="2" t="s">
        <v>295</v>
      </c>
      <c r="D283" s="2" t="s">
        <v>431</v>
      </c>
      <c r="E283" s="6">
        <v>2200</v>
      </c>
      <c r="F283" s="18">
        <v>51815.99</v>
      </c>
      <c r="G283" s="18">
        <v>31633.119999999999</v>
      </c>
      <c r="H283" s="18">
        <v>72412.5</v>
      </c>
      <c r="I283" s="18">
        <v>9075.74</v>
      </c>
      <c r="J283" s="18">
        <v>0</v>
      </c>
      <c r="K283" s="18">
        <v>6532.55</v>
      </c>
      <c r="L283" s="13">
        <f t="shared" si="12"/>
        <v>171469.89999999997</v>
      </c>
      <c r="M283" s="8"/>
      <c r="N283" s="164"/>
    </row>
    <row r="284" spans="1:14" s="3" customFormat="1" ht="12.2" customHeight="1" x14ac:dyDescent="0.15">
      <c r="A284" s="1" t="s">
        <v>444</v>
      </c>
      <c r="B284" s="2" t="s">
        <v>357</v>
      </c>
      <c r="C284" s="2" t="s">
        <v>296</v>
      </c>
      <c r="D284" s="2" t="s">
        <v>431</v>
      </c>
      <c r="E284" s="6">
        <v>2300</v>
      </c>
      <c r="F284" s="18">
        <v>2008.97</v>
      </c>
      <c r="G284" s="18">
        <v>878.47</v>
      </c>
      <c r="H284" s="18">
        <v>0</v>
      </c>
      <c r="I284" s="18">
        <v>0</v>
      </c>
      <c r="J284" s="18">
        <v>0</v>
      </c>
      <c r="K284" s="18">
        <v>0</v>
      </c>
      <c r="L284" s="13">
        <f t="shared" si="12"/>
        <v>2887.44</v>
      </c>
      <c r="M284" s="8"/>
      <c r="N284" s="164"/>
    </row>
    <row r="285" spans="1:14" s="3" customFormat="1" ht="12.2" customHeight="1" x14ac:dyDescent="0.15">
      <c r="A285" s="1" t="s">
        <v>445</v>
      </c>
      <c r="B285" s="2" t="s">
        <v>357</v>
      </c>
      <c r="C285" s="2" t="s">
        <v>297</v>
      </c>
      <c r="D285" s="2" t="s">
        <v>431</v>
      </c>
      <c r="E285" s="6">
        <v>2400</v>
      </c>
      <c r="F285" s="18">
        <v>956.87</v>
      </c>
      <c r="G285" s="18">
        <v>62.7</v>
      </c>
      <c r="H285" s="18">
        <v>0</v>
      </c>
      <c r="I285" s="18">
        <v>0</v>
      </c>
      <c r="J285" s="18">
        <v>0</v>
      </c>
      <c r="K285" s="18">
        <v>0</v>
      </c>
      <c r="L285" s="13">
        <f t="shared" si="12"/>
        <v>1019.57</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96605.88</v>
      </c>
      <c r="L286" s="13">
        <f t="shared" si="12"/>
        <v>96605.88</v>
      </c>
      <c r="M286" s="8"/>
      <c r="N286" s="164"/>
    </row>
    <row r="287" spans="1:14" s="3" customFormat="1" ht="12.2" customHeight="1" x14ac:dyDescent="0.15">
      <c r="A287" s="1" t="s">
        <v>447</v>
      </c>
      <c r="B287" s="2" t="s">
        <v>357</v>
      </c>
      <c r="C287" s="2" t="s">
        <v>299</v>
      </c>
      <c r="D287" s="2" t="s">
        <v>431</v>
      </c>
      <c r="E287" s="6">
        <v>2600</v>
      </c>
      <c r="F287" s="18">
        <v>2152.81</v>
      </c>
      <c r="G287" s="18">
        <v>164.68</v>
      </c>
      <c r="H287" s="18">
        <v>87683.18</v>
      </c>
      <c r="I287" s="18">
        <v>109305.39</v>
      </c>
      <c r="J287" s="18">
        <v>10681.85</v>
      </c>
      <c r="K287" s="18">
        <v>0</v>
      </c>
      <c r="L287" s="13">
        <f t="shared" si="12"/>
        <v>209987.91</v>
      </c>
      <c r="M287" s="8"/>
      <c r="N287" s="164"/>
    </row>
    <row r="288" spans="1:14" s="3" customFormat="1" ht="12.2" customHeight="1" x14ac:dyDescent="0.15">
      <c r="A288" s="1" t="s">
        <v>448</v>
      </c>
      <c r="B288" s="2" t="s">
        <v>357</v>
      </c>
      <c r="C288" s="2" t="s">
        <v>300</v>
      </c>
      <c r="D288" s="2" t="s">
        <v>431</v>
      </c>
      <c r="E288" s="6">
        <v>2700</v>
      </c>
      <c r="F288" s="18">
        <v>0</v>
      </c>
      <c r="G288" s="18">
        <v>0</v>
      </c>
      <c r="H288" s="18">
        <v>149497.29999999999</v>
      </c>
      <c r="I288" s="18">
        <v>0</v>
      </c>
      <c r="J288" s="18">
        <v>0</v>
      </c>
      <c r="K288" s="18">
        <v>0</v>
      </c>
      <c r="L288" s="13">
        <f t="shared" si="12"/>
        <v>149497.29999999999</v>
      </c>
      <c r="M288" s="8"/>
      <c r="N288" s="164"/>
    </row>
    <row r="289" spans="1:14" s="3" customFormat="1" ht="12.2" customHeight="1" x14ac:dyDescent="0.15">
      <c r="A289" s="1" t="s">
        <v>449</v>
      </c>
      <c r="B289" s="2" t="s">
        <v>357</v>
      </c>
      <c r="C289" s="2" t="s">
        <v>343</v>
      </c>
      <c r="D289" s="2" t="s">
        <v>431</v>
      </c>
      <c r="E289" s="6">
        <v>2800</v>
      </c>
      <c r="F289" s="18">
        <v>0</v>
      </c>
      <c r="G289" s="18">
        <v>0</v>
      </c>
      <c r="H289" s="18">
        <v>211.3</v>
      </c>
      <c r="I289" s="18">
        <v>647.35</v>
      </c>
      <c r="J289" s="18">
        <v>8361.14</v>
      </c>
      <c r="K289" s="18">
        <v>0</v>
      </c>
      <c r="L289" s="13">
        <f>SUM(F289:K289)</f>
        <v>9219.7899999999991</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1376900.79</v>
      </c>
      <c r="G291" s="39">
        <f t="shared" si="13"/>
        <v>503398.88</v>
      </c>
      <c r="H291" s="39">
        <f t="shared" si="13"/>
        <v>460399.44999999995</v>
      </c>
      <c r="I291" s="39">
        <f t="shared" si="13"/>
        <v>746405.26</v>
      </c>
      <c r="J291" s="39">
        <f t="shared" si="13"/>
        <v>47456.1</v>
      </c>
      <c r="K291" s="39">
        <f t="shared" si="13"/>
        <v>104133.65000000001</v>
      </c>
      <c r="L291" s="38">
        <f t="shared" si="13"/>
        <v>3238694.13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32726.7</v>
      </c>
      <c r="G296" s="18">
        <v>9870.14</v>
      </c>
      <c r="H296" s="18">
        <v>630.66999999999996</v>
      </c>
      <c r="I296" s="18">
        <v>260388.5</v>
      </c>
      <c r="J296" s="18">
        <v>12309.9</v>
      </c>
      <c r="K296" s="18">
        <v>0</v>
      </c>
      <c r="L296" s="13">
        <f>SUM(F296:K296)</f>
        <v>315925.91000000003</v>
      </c>
      <c r="M296" s="8"/>
      <c r="N296" s="164"/>
    </row>
    <row r="297" spans="1:14" s="3" customFormat="1" ht="12.2" customHeight="1" x14ac:dyDescent="0.15">
      <c r="A297" s="1" t="s">
        <v>439</v>
      </c>
      <c r="B297" s="2" t="s">
        <v>358</v>
      </c>
      <c r="C297" s="2" t="s">
        <v>291</v>
      </c>
      <c r="D297" s="2" t="s">
        <v>431</v>
      </c>
      <c r="E297" s="6">
        <v>1200</v>
      </c>
      <c r="F297" s="18">
        <v>123743.45</v>
      </c>
      <c r="G297" s="18">
        <v>51714.01</v>
      </c>
      <c r="H297" s="18">
        <v>54819.14</v>
      </c>
      <c r="I297" s="18">
        <v>10668.09</v>
      </c>
      <c r="J297" s="18">
        <v>1547.04</v>
      </c>
      <c r="K297" s="18">
        <v>0</v>
      </c>
      <c r="L297" s="13">
        <f>SUM(F297:K297)</f>
        <v>242491.72999999998</v>
      </c>
      <c r="M297" s="8"/>
      <c r="N297" s="164"/>
    </row>
    <row r="298" spans="1:14" s="3" customFormat="1" ht="12.2" customHeight="1" x14ac:dyDescent="0.15">
      <c r="A298" s="1" t="s">
        <v>440</v>
      </c>
      <c r="B298" s="2" t="s">
        <v>358</v>
      </c>
      <c r="C298" s="2" t="s">
        <v>292</v>
      </c>
      <c r="D298" s="2" t="s">
        <v>431</v>
      </c>
      <c r="E298" s="6">
        <v>1300</v>
      </c>
      <c r="F298" s="18">
        <v>0</v>
      </c>
      <c r="G298" s="18">
        <v>0</v>
      </c>
      <c r="H298" s="18">
        <v>453.42</v>
      </c>
      <c r="I298" s="18">
        <v>0</v>
      </c>
      <c r="J298" s="18">
        <v>0</v>
      </c>
      <c r="K298" s="18">
        <v>0</v>
      </c>
      <c r="L298" s="13">
        <f>SUM(F298:K298)</f>
        <v>453.42</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78210.87</v>
      </c>
      <c r="G301" s="18">
        <v>17343.099999999999</v>
      </c>
      <c r="H301" s="18">
        <v>23578.33</v>
      </c>
      <c r="I301" s="18">
        <v>5816.54</v>
      </c>
      <c r="J301" s="18">
        <v>0</v>
      </c>
      <c r="K301" s="18">
        <v>485.37</v>
      </c>
      <c r="L301" s="13">
        <f t="shared" ref="L301:L307" si="14">SUM(F301:K301)</f>
        <v>125434.20999999999</v>
      </c>
      <c r="M301" s="8"/>
      <c r="N301" s="164"/>
    </row>
    <row r="302" spans="1:14" s="3" customFormat="1" ht="12.2" customHeight="1" x14ac:dyDescent="0.15">
      <c r="A302" s="1" t="s">
        <v>443</v>
      </c>
      <c r="B302" s="2" t="s">
        <v>358</v>
      </c>
      <c r="C302" s="2" t="s">
        <v>295</v>
      </c>
      <c r="D302" s="2" t="s">
        <v>431</v>
      </c>
      <c r="E302" s="6">
        <v>2200</v>
      </c>
      <c r="F302" s="18">
        <v>21992.959999999999</v>
      </c>
      <c r="G302" s="18">
        <v>12049.19</v>
      </c>
      <c r="H302" s="18">
        <v>33828.300000000003</v>
      </c>
      <c r="I302" s="18">
        <v>6300.45</v>
      </c>
      <c r="J302" s="18">
        <v>0</v>
      </c>
      <c r="K302" s="18">
        <v>3185.89</v>
      </c>
      <c r="L302" s="13">
        <f t="shared" si="14"/>
        <v>77356.790000000008</v>
      </c>
      <c r="M302" s="8"/>
      <c r="N302" s="164"/>
    </row>
    <row r="303" spans="1:14" s="3" customFormat="1" ht="12.2" customHeight="1" x14ac:dyDescent="0.15">
      <c r="A303" s="1" t="s">
        <v>444</v>
      </c>
      <c r="B303" s="2" t="s">
        <v>358</v>
      </c>
      <c r="C303" s="2" t="s">
        <v>296</v>
      </c>
      <c r="D303" s="2" t="s">
        <v>431</v>
      </c>
      <c r="E303" s="6">
        <v>2300</v>
      </c>
      <c r="F303" s="18">
        <v>979.77</v>
      </c>
      <c r="G303" s="18">
        <v>428.43</v>
      </c>
      <c r="H303" s="18">
        <v>0</v>
      </c>
      <c r="I303" s="18">
        <v>0</v>
      </c>
      <c r="J303" s="18">
        <v>0</v>
      </c>
      <c r="K303" s="18">
        <v>0</v>
      </c>
      <c r="L303" s="13">
        <f t="shared" si="14"/>
        <v>1408.2</v>
      </c>
      <c r="M303" s="8"/>
      <c r="N303" s="164"/>
    </row>
    <row r="304" spans="1:14" s="3" customFormat="1" ht="12.2" customHeight="1" x14ac:dyDescent="0.15">
      <c r="A304" s="1" t="s">
        <v>445</v>
      </c>
      <c r="B304" s="2" t="s">
        <v>358</v>
      </c>
      <c r="C304" s="2" t="s">
        <v>297</v>
      </c>
      <c r="D304" s="2" t="s">
        <v>431</v>
      </c>
      <c r="E304" s="6">
        <v>2400</v>
      </c>
      <c r="F304" s="18">
        <v>466.66</v>
      </c>
      <c r="G304" s="18">
        <v>30.57</v>
      </c>
      <c r="H304" s="18">
        <v>0</v>
      </c>
      <c r="I304" s="18">
        <v>0</v>
      </c>
      <c r="J304" s="18">
        <v>0</v>
      </c>
      <c r="K304" s="18">
        <v>0</v>
      </c>
      <c r="L304" s="13">
        <f t="shared" si="14"/>
        <v>497.23</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47114.23</v>
      </c>
      <c r="L305" s="13">
        <f t="shared" si="14"/>
        <v>47114.23</v>
      </c>
      <c r="M305" s="8"/>
      <c r="N305" s="164"/>
    </row>
    <row r="306" spans="1:14" s="3" customFormat="1" ht="12.2" customHeight="1" x14ac:dyDescent="0.15">
      <c r="A306" s="1" t="s">
        <v>447</v>
      </c>
      <c r="B306" s="2" t="s">
        <v>358</v>
      </c>
      <c r="C306" s="2" t="s">
        <v>299</v>
      </c>
      <c r="D306" s="2" t="s">
        <v>431</v>
      </c>
      <c r="E306" s="6">
        <v>2600</v>
      </c>
      <c r="F306" s="18">
        <v>1049.92</v>
      </c>
      <c r="G306" s="18">
        <v>80.319999999999993</v>
      </c>
      <c r="H306" s="18">
        <v>42762.67</v>
      </c>
      <c r="I306" s="18">
        <v>53307.71</v>
      </c>
      <c r="J306" s="18">
        <v>5209.49</v>
      </c>
      <c r="K306" s="18">
        <v>0</v>
      </c>
      <c r="L306" s="13">
        <f t="shared" si="14"/>
        <v>102410.11</v>
      </c>
      <c r="M306" s="8"/>
      <c r="N306" s="164"/>
    </row>
    <row r="307" spans="1:14" s="3" customFormat="1" ht="12.2" customHeight="1" x14ac:dyDescent="0.15">
      <c r="A307" s="1" t="s">
        <v>448</v>
      </c>
      <c r="B307" s="2" t="s">
        <v>358</v>
      </c>
      <c r="C307" s="2" t="s">
        <v>300</v>
      </c>
      <c r="D307" s="2" t="s">
        <v>431</v>
      </c>
      <c r="E307" s="6">
        <v>2700</v>
      </c>
      <c r="F307" s="18">
        <v>0</v>
      </c>
      <c r="G307" s="18">
        <v>0</v>
      </c>
      <c r="H307" s="18">
        <v>72909.119999999995</v>
      </c>
      <c r="I307" s="18">
        <v>0</v>
      </c>
      <c r="J307" s="18">
        <v>0</v>
      </c>
      <c r="K307" s="18">
        <v>0</v>
      </c>
      <c r="L307" s="13">
        <f t="shared" si="14"/>
        <v>72909.119999999995</v>
      </c>
      <c r="M307" s="8"/>
      <c r="N307" s="164"/>
    </row>
    <row r="308" spans="1:14" s="3" customFormat="1" ht="12.2" customHeight="1" x14ac:dyDescent="0.15">
      <c r="A308" s="1" t="s">
        <v>449</v>
      </c>
      <c r="B308" s="2" t="s">
        <v>358</v>
      </c>
      <c r="C308" s="2" t="s">
        <v>343</v>
      </c>
      <c r="D308" s="2" t="s">
        <v>431</v>
      </c>
      <c r="E308" s="6">
        <v>2800</v>
      </c>
      <c r="F308" s="18">
        <v>0</v>
      </c>
      <c r="G308" s="18">
        <v>0</v>
      </c>
      <c r="H308" s="18">
        <v>103.05</v>
      </c>
      <c r="I308" s="18">
        <v>315.70999999999998</v>
      </c>
      <c r="J308" s="18">
        <v>4077.69</v>
      </c>
      <c r="K308" s="18">
        <v>0</v>
      </c>
      <c r="L308" s="13">
        <f>SUM(F308:K308)</f>
        <v>4496.45</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259170.33</v>
      </c>
      <c r="G310" s="39">
        <f t="shared" si="15"/>
        <v>91515.760000000009</v>
      </c>
      <c r="H310" s="39">
        <f t="shared" si="15"/>
        <v>229084.69999999998</v>
      </c>
      <c r="I310" s="39">
        <f t="shared" si="15"/>
        <v>336797.00000000006</v>
      </c>
      <c r="J310" s="39">
        <f t="shared" si="15"/>
        <v>23144.12</v>
      </c>
      <c r="K310" s="39">
        <f t="shared" si="15"/>
        <v>50785.490000000005</v>
      </c>
      <c r="L310" s="38">
        <f t="shared" si="15"/>
        <v>990497.39999999991</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59541.279999999999</v>
      </c>
      <c r="G315" s="18">
        <v>17934.96</v>
      </c>
      <c r="H315" s="18">
        <v>1943.97</v>
      </c>
      <c r="I315" s="18">
        <v>458606.02</v>
      </c>
      <c r="J315" s="18">
        <v>22176.93</v>
      </c>
      <c r="K315" s="18">
        <v>333</v>
      </c>
      <c r="L315" s="13">
        <f>SUM(F315:K315)</f>
        <v>560536.16</v>
      </c>
      <c r="M315" s="8"/>
      <c r="N315" s="164"/>
    </row>
    <row r="316" spans="1:14" s="3" customFormat="1" ht="12.2" customHeight="1" x14ac:dyDescent="0.15">
      <c r="A316" s="1" t="s">
        <v>439</v>
      </c>
      <c r="B316" s="2" t="s">
        <v>359</v>
      </c>
      <c r="C316" s="2" t="s">
        <v>291</v>
      </c>
      <c r="D316" s="2" t="s">
        <v>431</v>
      </c>
      <c r="E316" s="6">
        <v>1200</v>
      </c>
      <c r="F316" s="18">
        <v>222930.32</v>
      </c>
      <c r="G316" s="18">
        <v>93165.51</v>
      </c>
      <c r="H316" s="18">
        <v>98759.57</v>
      </c>
      <c r="I316" s="18">
        <v>19219.12</v>
      </c>
      <c r="J316" s="18">
        <v>2787.08</v>
      </c>
      <c r="K316" s="18">
        <v>0</v>
      </c>
      <c r="L316" s="13">
        <f>SUM(F316:K316)</f>
        <v>436861.60000000003</v>
      </c>
      <c r="M316" s="8"/>
      <c r="N316" s="164"/>
    </row>
    <row r="317" spans="1:14" s="3" customFormat="1" ht="12.2" customHeight="1" x14ac:dyDescent="0.15">
      <c r="A317" s="1" t="s">
        <v>440</v>
      </c>
      <c r="B317" s="2" t="s">
        <v>359</v>
      </c>
      <c r="C317" s="2" t="s">
        <v>292</v>
      </c>
      <c r="D317" s="2" t="s">
        <v>431</v>
      </c>
      <c r="E317" s="6">
        <v>1300</v>
      </c>
      <c r="F317" s="18">
        <v>4000</v>
      </c>
      <c r="G317" s="18">
        <v>1027.5899999999999</v>
      </c>
      <c r="H317" s="18">
        <v>22032.15</v>
      </c>
      <c r="I317" s="18">
        <v>22324.22</v>
      </c>
      <c r="J317" s="18">
        <v>103840.2</v>
      </c>
      <c r="K317" s="18">
        <v>31364.45</v>
      </c>
      <c r="L317" s="13">
        <f>SUM(F317:K317)</f>
        <v>184588.61000000002</v>
      </c>
      <c r="M317" s="8"/>
      <c r="N317" s="164"/>
    </row>
    <row r="318" spans="1:14" s="3" customFormat="1" ht="12.2" customHeight="1" x14ac:dyDescent="0.15">
      <c r="A318" s="1" t="s">
        <v>441</v>
      </c>
      <c r="B318" s="2" t="s">
        <v>359</v>
      </c>
      <c r="C318" s="2" t="s">
        <v>293</v>
      </c>
      <c r="D318" s="2" t="s">
        <v>431</v>
      </c>
      <c r="E318" s="6">
        <v>1400</v>
      </c>
      <c r="F318" s="18">
        <v>21500</v>
      </c>
      <c r="G318" s="18">
        <v>7319.16</v>
      </c>
      <c r="H318" s="18">
        <v>2320.41</v>
      </c>
      <c r="I318" s="18">
        <v>24261.599999999999</v>
      </c>
      <c r="J318" s="18">
        <v>0</v>
      </c>
      <c r="K318" s="18">
        <v>3434</v>
      </c>
      <c r="L318" s="13">
        <f>SUM(F318:K318)</f>
        <v>58835.17</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140946.39000000001</v>
      </c>
      <c r="G320" s="18">
        <v>31116.13</v>
      </c>
      <c r="H320" s="18">
        <v>19498.79</v>
      </c>
      <c r="I320" s="18">
        <v>5261.34</v>
      </c>
      <c r="J320" s="18">
        <v>0</v>
      </c>
      <c r="K320" s="18">
        <v>7624.41</v>
      </c>
      <c r="L320" s="13">
        <f t="shared" ref="L320:L326" si="16">SUM(F320:K320)</f>
        <v>204447.06000000003</v>
      </c>
      <c r="M320" s="8"/>
      <c r="N320" s="164"/>
    </row>
    <row r="321" spans="1:14" s="3" customFormat="1" ht="12.2" customHeight="1" x14ac:dyDescent="0.15">
      <c r="A321" s="1" t="s">
        <v>443</v>
      </c>
      <c r="B321" s="2" t="s">
        <v>359</v>
      </c>
      <c r="C321" s="2" t="s">
        <v>295</v>
      </c>
      <c r="D321" s="2" t="s">
        <v>431</v>
      </c>
      <c r="E321" s="6">
        <v>2200</v>
      </c>
      <c r="F321" s="18">
        <v>34464.51</v>
      </c>
      <c r="G321" s="18">
        <v>19175.919999999998</v>
      </c>
      <c r="H321" s="18">
        <v>65074.2</v>
      </c>
      <c r="I321" s="18">
        <v>8385.9</v>
      </c>
      <c r="J321" s="18">
        <v>0</v>
      </c>
      <c r="K321" s="18">
        <v>5739.56</v>
      </c>
      <c r="L321" s="13">
        <f t="shared" si="16"/>
        <v>132840.09</v>
      </c>
      <c r="M321" s="8"/>
      <c r="N321" s="164"/>
    </row>
    <row r="322" spans="1:14" s="3" customFormat="1" ht="12.2" customHeight="1" x14ac:dyDescent="0.15">
      <c r="A322" s="1" t="s">
        <v>444</v>
      </c>
      <c r="B322" s="2" t="s">
        <v>359</v>
      </c>
      <c r="C322" s="2" t="s">
        <v>296</v>
      </c>
      <c r="D322" s="2" t="s">
        <v>431</v>
      </c>
      <c r="E322" s="6">
        <v>2300</v>
      </c>
      <c r="F322" s="18">
        <v>1765.1</v>
      </c>
      <c r="G322" s="18">
        <v>771.83</v>
      </c>
      <c r="H322" s="18">
        <v>0</v>
      </c>
      <c r="I322" s="18">
        <v>0</v>
      </c>
      <c r="J322" s="18">
        <v>0</v>
      </c>
      <c r="K322" s="18">
        <v>0</v>
      </c>
      <c r="L322" s="13">
        <f t="shared" si="16"/>
        <v>2536.9299999999998</v>
      </c>
      <c r="M322" s="8"/>
      <c r="N322" s="164"/>
    </row>
    <row r="323" spans="1:14" s="3" customFormat="1" ht="12.2" customHeight="1" x14ac:dyDescent="0.15">
      <c r="A323" s="1" t="s">
        <v>445</v>
      </c>
      <c r="B323" s="2" t="s">
        <v>359</v>
      </c>
      <c r="C323" s="2" t="s">
        <v>297</v>
      </c>
      <c r="D323" s="2" t="s">
        <v>431</v>
      </c>
      <c r="E323" s="6">
        <v>2400</v>
      </c>
      <c r="F323" s="18">
        <v>840.72</v>
      </c>
      <c r="G323" s="18">
        <v>55.08</v>
      </c>
      <c r="H323" s="18">
        <v>0</v>
      </c>
      <c r="I323" s="18">
        <v>0</v>
      </c>
      <c r="J323" s="18">
        <v>0</v>
      </c>
      <c r="K323" s="18">
        <v>0</v>
      </c>
      <c r="L323" s="13">
        <f t="shared" si="16"/>
        <v>895.80000000000007</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89496.59</v>
      </c>
      <c r="L324" s="13">
        <f t="shared" si="16"/>
        <v>89496.59</v>
      </c>
      <c r="M324" s="8"/>
      <c r="N324" s="164"/>
    </row>
    <row r="325" spans="1:14" s="3" customFormat="1" ht="12.2" customHeight="1" x14ac:dyDescent="0.15">
      <c r="A325" s="1" t="s">
        <v>447</v>
      </c>
      <c r="B325" s="2" t="s">
        <v>359</v>
      </c>
      <c r="C325" s="2" t="s">
        <v>299</v>
      </c>
      <c r="D325" s="2" t="s">
        <v>431</v>
      </c>
      <c r="E325" s="6">
        <v>2600</v>
      </c>
      <c r="F325" s="18">
        <v>1891.48</v>
      </c>
      <c r="G325" s="18">
        <v>144.69999999999999</v>
      </c>
      <c r="H325" s="18">
        <v>5111316.24</v>
      </c>
      <c r="I325" s="18">
        <v>96036.65</v>
      </c>
      <c r="J325" s="18">
        <v>9385.16</v>
      </c>
      <c r="K325" s="18">
        <v>0</v>
      </c>
      <c r="L325" s="13">
        <f t="shared" si="16"/>
        <v>5218774.2300000004</v>
      </c>
      <c r="M325" s="8"/>
      <c r="N325" s="164"/>
    </row>
    <row r="326" spans="1:14" s="3" customFormat="1" ht="12.2" customHeight="1" x14ac:dyDescent="0.15">
      <c r="A326" s="1" t="s">
        <v>448</v>
      </c>
      <c r="B326" s="2" t="s">
        <v>359</v>
      </c>
      <c r="C326" s="2" t="s">
        <v>300</v>
      </c>
      <c r="D326" s="2" t="s">
        <v>431</v>
      </c>
      <c r="E326" s="6">
        <v>2700</v>
      </c>
      <c r="F326" s="18">
        <v>0</v>
      </c>
      <c r="G326" s="18">
        <v>0</v>
      </c>
      <c r="H326" s="18">
        <v>133034.13</v>
      </c>
      <c r="I326" s="18">
        <v>0</v>
      </c>
      <c r="J326" s="18">
        <v>0</v>
      </c>
      <c r="K326" s="18">
        <v>0</v>
      </c>
      <c r="L326" s="13">
        <f t="shared" si="16"/>
        <v>133034.13</v>
      </c>
      <c r="M326" s="8"/>
      <c r="N326" s="164"/>
    </row>
    <row r="327" spans="1:14" s="3" customFormat="1" ht="12.2" customHeight="1" x14ac:dyDescent="0.15">
      <c r="A327" s="1" t="s">
        <v>449</v>
      </c>
      <c r="B327" s="2" t="s">
        <v>359</v>
      </c>
      <c r="C327" s="2" t="s">
        <v>343</v>
      </c>
      <c r="D327" s="2" t="s">
        <v>431</v>
      </c>
      <c r="E327" s="6">
        <v>2800</v>
      </c>
      <c r="F327" s="18">
        <v>0</v>
      </c>
      <c r="G327" s="18">
        <v>0</v>
      </c>
      <c r="H327" s="18">
        <v>185.65</v>
      </c>
      <c r="I327" s="18">
        <v>716.34</v>
      </c>
      <c r="J327" s="18">
        <v>7346.17</v>
      </c>
      <c r="K327" s="18">
        <v>0</v>
      </c>
      <c r="L327" s="13">
        <f>SUM(F327:K327)</f>
        <v>8248.16</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487879.79999999993</v>
      </c>
      <c r="G329" s="39">
        <f t="shared" si="17"/>
        <v>170710.88</v>
      </c>
      <c r="H329" s="39">
        <f t="shared" si="17"/>
        <v>5454165.1100000003</v>
      </c>
      <c r="I329" s="39">
        <f t="shared" si="17"/>
        <v>634811.18999999994</v>
      </c>
      <c r="J329" s="39">
        <f t="shared" si="17"/>
        <v>145535.54</v>
      </c>
      <c r="K329" s="39">
        <f t="shared" si="17"/>
        <v>137992.01</v>
      </c>
      <c r="L329" s="38">
        <f t="shared" si="17"/>
        <v>7031094.5300000003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2123950.92</v>
      </c>
      <c r="G339" s="38">
        <f t="shared" si="20"/>
        <v>765625.52</v>
      </c>
      <c r="H339" s="38">
        <f t="shared" si="20"/>
        <v>6143649.2599999998</v>
      </c>
      <c r="I339" s="38">
        <f t="shared" si="20"/>
        <v>1718013.45</v>
      </c>
      <c r="J339" s="38">
        <f t="shared" si="20"/>
        <v>216135.76</v>
      </c>
      <c r="K339" s="38">
        <f t="shared" si="20"/>
        <v>292911.15000000002</v>
      </c>
      <c r="L339" s="38">
        <f t="shared" si="20"/>
        <v>11260286.059999999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2123950.92</v>
      </c>
      <c r="G353" s="38">
        <f>G339</f>
        <v>765625.52</v>
      </c>
      <c r="H353" s="38">
        <f>H339</f>
        <v>6143649.2599999998</v>
      </c>
      <c r="I353" s="38">
        <f>I339</f>
        <v>1718013.45</v>
      </c>
      <c r="J353" s="38">
        <f>J339</f>
        <v>216135.76</v>
      </c>
      <c r="K353" s="38">
        <f>K339+K352</f>
        <v>292911.15000000002</v>
      </c>
      <c r="L353" s="38">
        <f>L339+L352</f>
        <v>11260286.059999999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331321.84999999998</v>
      </c>
      <c r="G359" s="18">
        <v>105596.46</v>
      </c>
      <c r="H359" s="18">
        <v>150205.14000000001</v>
      </c>
      <c r="I359" s="18">
        <v>407691.27</v>
      </c>
      <c r="J359" s="18"/>
      <c r="K359" s="18"/>
      <c r="L359" s="13">
        <f>SUM(F359:K359)</f>
        <v>994814.72</v>
      </c>
      <c r="M359" s="8"/>
      <c r="N359" s="164"/>
    </row>
    <row r="360" spans="1:22" s="3" customFormat="1" ht="12.2" customHeight="1" x14ac:dyDescent="0.15">
      <c r="A360" s="1" t="s">
        <v>542</v>
      </c>
      <c r="B360" s="2" t="s">
        <v>366</v>
      </c>
      <c r="C360" s="6">
        <v>2</v>
      </c>
      <c r="D360" s="2" t="s">
        <v>431</v>
      </c>
      <c r="E360" s="6"/>
      <c r="F360" s="18">
        <v>118327.63</v>
      </c>
      <c r="G360" s="18">
        <v>33226.910000000003</v>
      </c>
      <c r="H360" s="18">
        <v>77374.41</v>
      </c>
      <c r="I360" s="18">
        <v>168113.64</v>
      </c>
      <c r="J360" s="18"/>
      <c r="K360" s="18"/>
      <c r="L360" s="13">
        <f>SUM(F360:K360)</f>
        <v>397042.59</v>
      </c>
      <c r="M360" s="8"/>
      <c r="N360" s="164"/>
    </row>
    <row r="361" spans="1:22" s="3" customFormat="1" ht="12.2" customHeight="1" x14ac:dyDescent="0.15">
      <c r="A361" s="3" t="s">
        <v>543</v>
      </c>
      <c r="B361" s="2" t="s">
        <v>366</v>
      </c>
      <c r="C361" s="6">
        <v>3</v>
      </c>
      <c r="D361" s="2" t="s">
        <v>431</v>
      </c>
      <c r="E361" s="6"/>
      <c r="F361" s="18">
        <v>156557.26999999999</v>
      </c>
      <c r="G361" s="18">
        <v>53188.4</v>
      </c>
      <c r="H361" s="18">
        <v>132230.51</v>
      </c>
      <c r="I361" s="18">
        <v>302424.09999999998</v>
      </c>
      <c r="J361" s="18"/>
      <c r="K361" s="18"/>
      <c r="L361" s="13">
        <f>SUM(F361:K361)</f>
        <v>644400.28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606206.75</v>
      </c>
      <c r="G363" s="38">
        <f t="shared" si="22"/>
        <v>192011.77</v>
      </c>
      <c r="H363" s="38">
        <f t="shared" si="22"/>
        <v>359810.06000000006</v>
      </c>
      <c r="I363" s="38">
        <f t="shared" si="22"/>
        <v>878229.01</v>
      </c>
      <c r="J363" s="38">
        <f t="shared" si="22"/>
        <v>0</v>
      </c>
      <c r="K363" s="38">
        <f t="shared" si="22"/>
        <v>0</v>
      </c>
      <c r="L363" s="38">
        <f t="shared" si="22"/>
        <v>2036257.59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367512.46</v>
      </c>
      <c r="G368" s="18">
        <v>148518.62</v>
      </c>
      <c r="H368" s="18">
        <v>267122.65000000002</v>
      </c>
      <c r="I368" s="13">
        <f>SUM(F368:H368)</f>
        <v>783153.73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40178.81</v>
      </c>
      <c r="G369" s="53">
        <v>19595.02</v>
      </c>
      <c r="H369" s="53">
        <v>35301.449999999997</v>
      </c>
      <c r="I369" s="13">
        <f>SUM(F369:H369)</f>
        <v>95075.28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407691.27</v>
      </c>
      <c r="G370" s="38">
        <f>SUM(G368:G369)</f>
        <v>168113.63999999998</v>
      </c>
      <c r="H370" s="38">
        <f>SUM(H368:H369)</f>
        <v>302424.10000000003</v>
      </c>
      <c r="I370" s="38">
        <f>SUM(I368:I369)</f>
        <v>878229.01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v>1735147.45</v>
      </c>
      <c r="I380" s="18"/>
      <c r="J380" s="18"/>
      <c r="K380" s="18"/>
      <c r="L380" s="13">
        <f t="shared" si="23"/>
        <v>1735147.45</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1735147.45</v>
      </c>
      <c r="I383" s="38">
        <f t="shared" si="24"/>
        <v>0</v>
      </c>
      <c r="J383" s="38">
        <f t="shared" si="24"/>
        <v>0</v>
      </c>
      <c r="K383" s="38">
        <f t="shared" si="24"/>
        <v>0</v>
      </c>
      <c r="L383" s="38">
        <f t="shared" si="24"/>
        <v>1735147.45</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0</v>
      </c>
      <c r="G466" s="18">
        <v>304756.38</v>
      </c>
      <c r="H466" s="18">
        <v>0</v>
      </c>
      <c r="I466" s="18">
        <v>1735147.45</v>
      </c>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71808740.32+1400000</f>
        <v>73208740.319999993</v>
      </c>
      <c r="G469" s="18">
        <v>2223724.7600000002</v>
      </c>
      <c r="H469" s="18">
        <v>11699945.800000001</v>
      </c>
      <c r="I469" s="18">
        <f>34132177.24-1400000</f>
        <v>32732177.240000002</v>
      </c>
      <c r="J469" s="18">
        <v>0</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73208740.319999993</v>
      </c>
      <c r="G471" s="19">
        <f>SUM(G469:G470)</f>
        <v>2223724.7600000002</v>
      </c>
      <c r="H471" s="19">
        <f>SUM(H469:H470)</f>
        <v>11699945.800000001</v>
      </c>
      <c r="I471" s="19">
        <f>SUM(I469:I470)</f>
        <v>32732177.240000002</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69682904.480000004</v>
      </c>
      <c r="G473" s="18">
        <v>2036257.59</v>
      </c>
      <c r="H473" s="18">
        <f>13296543.65-68006.64-1968250.95</f>
        <v>11260286.060000001</v>
      </c>
      <c r="I473" s="18">
        <v>1735147.45</v>
      </c>
      <c r="J473" s="18"/>
      <c r="K473" s="23" t="s">
        <v>288</v>
      </c>
      <c r="L473" s="23" t="s">
        <v>288</v>
      </c>
      <c r="N473" s="130"/>
    </row>
    <row r="474" spans="1:14" ht="12.2" customHeight="1" x14ac:dyDescent="0.2">
      <c r="A474" s="71" t="s">
        <v>613</v>
      </c>
      <c r="B474" s="22">
        <v>19</v>
      </c>
      <c r="C474" s="31">
        <v>6</v>
      </c>
      <c r="D474" s="2" t="s">
        <v>432</v>
      </c>
      <c r="E474" s="31"/>
      <c r="F474" s="18">
        <v>2125835.84</v>
      </c>
      <c r="G474" s="18">
        <v>187467.18</v>
      </c>
      <c r="H474" s="18">
        <v>439659.74</v>
      </c>
      <c r="I474" s="18"/>
      <c r="J474" s="18"/>
      <c r="K474" s="23" t="s">
        <v>288</v>
      </c>
      <c r="L474" s="23" t="s">
        <v>288</v>
      </c>
      <c r="N474" s="130"/>
    </row>
    <row r="475" spans="1:14" ht="12.2" customHeight="1" x14ac:dyDescent="0.2">
      <c r="A475" s="32" t="s">
        <v>426</v>
      </c>
      <c r="B475" s="22">
        <v>19</v>
      </c>
      <c r="C475" s="31">
        <v>7</v>
      </c>
      <c r="D475" s="2" t="s">
        <v>432</v>
      </c>
      <c r="E475" s="31"/>
      <c r="F475" s="19">
        <f>SUM(F473:F474)</f>
        <v>71808740.320000008</v>
      </c>
      <c r="G475" s="19">
        <f>SUM(G473:G474)</f>
        <v>2223724.77</v>
      </c>
      <c r="H475" s="19">
        <f>SUM(H473:H474)</f>
        <v>11699945.800000001</v>
      </c>
      <c r="I475" s="19">
        <f>SUM(I473:I474)</f>
        <v>1735147.45</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1399999.9999999851</v>
      </c>
      <c r="G477" s="19">
        <f>(G466+G471)- G475</f>
        <v>304756.37000000011</v>
      </c>
      <c r="H477" s="19">
        <f>(H466+H471)- H475</f>
        <v>0</v>
      </c>
      <c r="I477" s="19">
        <f>(I466+I471)- I475</f>
        <v>32732177.240000006</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1845</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1845</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9338894.4299999997</v>
      </c>
      <c r="G494" s="18"/>
      <c r="H494" s="18"/>
      <c r="I494" s="18"/>
      <c r="J494" s="18"/>
      <c r="K494" s="23" t="s">
        <v>288</v>
      </c>
      <c r="L494" s="23" t="s">
        <v>288</v>
      </c>
      <c r="N494" s="130"/>
    </row>
    <row r="495" spans="1:14" ht="12.2" customHeight="1" x14ac:dyDescent="0.2">
      <c r="A495" s="21" t="s">
        <v>618</v>
      </c>
      <c r="B495" s="22">
        <v>20</v>
      </c>
      <c r="C495" s="22">
        <v>5</v>
      </c>
      <c r="D495" s="2" t="s">
        <v>432</v>
      </c>
      <c r="E495" s="22"/>
      <c r="F495" s="112" t="s">
        <v>1845</v>
      </c>
      <c r="G495" s="18"/>
      <c r="H495" s="18"/>
      <c r="I495" s="18"/>
      <c r="J495" s="18"/>
      <c r="K495" s="23" t="s">
        <v>288</v>
      </c>
      <c r="L495" s="23" t="s">
        <v>288</v>
      </c>
      <c r="N495" s="130"/>
    </row>
    <row r="496" spans="1:14" ht="12.2" customHeight="1" x14ac:dyDescent="0.2">
      <c r="A496" s="21" t="s">
        <v>619</v>
      </c>
      <c r="B496" s="22">
        <v>20</v>
      </c>
      <c r="C496" s="22">
        <v>6</v>
      </c>
      <c r="D496" s="2" t="s">
        <v>432</v>
      </c>
      <c r="E496" s="22"/>
      <c r="F496" s="18">
        <v>13300762.41</v>
      </c>
      <c r="G496" s="18"/>
      <c r="H496" s="18"/>
      <c r="I496" s="18"/>
      <c r="J496" s="18"/>
      <c r="K496" s="19">
        <f>SUM(F496:J496)</f>
        <v>13300762.41</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1363605.58</v>
      </c>
      <c r="G498" s="18"/>
      <c r="H498" s="18"/>
      <c r="I498" s="18"/>
      <c r="J498" s="18"/>
      <c r="K498" s="19">
        <f t="shared" si="35"/>
        <v>1363605.58</v>
      </c>
      <c r="L498" s="23" t="s">
        <v>288</v>
      </c>
      <c r="N498" s="130"/>
    </row>
    <row r="499" spans="1:14" ht="12.2" customHeight="1" x14ac:dyDescent="0.2">
      <c r="A499" s="143" t="s">
        <v>622</v>
      </c>
      <c r="B499" s="144">
        <v>20</v>
      </c>
      <c r="C499" s="144">
        <v>9</v>
      </c>
      <c r="D499" s="145" t="s">
        <v>432</v>
      </c>
      <c r="E499" s="144"/>
      <c r="F499" s="146">
        <v>11937156.83</v>
      </c>
      <c r="G499" s="146"/>
      <c r="H499" s="146"/>
      <c r="I499" s="146"/>
      <c r="J499" s="146"/>
      <c r="K499" s="147">
        <f t="shared" si="35"/>
        <v>11937156.83</v>
      </c>
      <c r="L499" s="148" t="s">
        <v>288</v>
      </c>
      <c r="N499" s="130"/>
    </row>
    <row r="500" spans="1:14" ht="12.2" customHeight="1" thickBot="1" x14ac:dyDescent="0.25">
      <c r="A500" s="21" t="s">
        <v>623</v>
      </c>
      <c r="B500" s="22">
        <v>20</v>
      </c>
      <c r="C500" s="22">
        <v>10</v>
      </c>
      <c r="D500" s="2" t="s">
        <v>432</v>
      </c>
      <c r="E500" s="22"/>
      <c r="F500" s="18">
        <v>2189816</v>
      </c>
      <c r="G500" s="18"/>
      <c r="H500" s="18"/>
      <c r="I500" s="18"/>
      <c r="J500" s="18"/>
      <c r="K500" s="19">
        <f t="shared" si="35"/>
        <v>2189816</v>
      </c>
      <c r="L500" s="23" t="s">
        <v>288</v>
      </c>
      <c r="N500" s="130"/>
    </row>
    <row r="501" spans="1:14" ht="12.2" customHeight="1" thickTop="1" x14ac:dyDescent="0.2">
      <c r="A501" s="97" t="s">
        <v>624</v>
      </c>
      <c r="B501" s="41">
        <v>20</v>
      </c>
      <c r="C501" s="41">
        <v>11</v>
      </c>
      <c r="D501" s="36" t="s">
        <v>432</v>
      </c>
      <c r="E501" s="41"/>
      <c r="F501" s="39">
        <f>SUM(F499:F500)</f>
        <v>14126972.83</v>
      </c>
      <c r="G501" s="39">
        <f>SUM(G499:G500)</f>
        <v>0</v>
      </c>
      <c r="H501" s="39">
        <f>SUM(H499:H500)</f>
        <v>0</v>
      </c>
      <c r="I501" s="39">
        <f>SUM(I499:I500)</f>
        <v>0</v>
      </c>
      <c r="J501" s="39">
        <f>SUM(J499:J500)</f>
        <v>0</v>
      </c>
      <c r="K501" s="39">
        <f t="shared" si="35"/>
        <v>14126972.83</v>
      </c>
      <c r="L501" s="42" t="s">
        <v>288</v>
      </c>
      <c r="N501" s="130"/>
    </row>
    <row r="502" spans="1:14" ht="12.2" customHeight="1" x14ac:dyDescent="0.2">
      <c r="A502" s="143" t="s">
        <v>651</v>
      </c>
      <c r="B502" s="144">
        <v>20</v>
      </c>
      <c r="C502" s="144">
        <v>12</v>
      </c>
      <c r="D502" s="145" t="s">
        <v>432</v>
      </c>
      <c r="E502" s="144"/>
      <c r="F502" s="146">
        <v>1362134.27</v>
      </c>
      <c r="G502" s="146"/>
      <c r="H502" s="146"/>
      <c r="I502" s="146"/>
      <c r="J502" s="146"/>
      <c r="K502" s="147">
        <f t="shared" si="35"/>
        <v>1362134.27</v>
      </c>
      <c r="L502" s="148" t="s">
        <v>288</v>
      </c>
      <c r="N502" s="130"/>
    </row>
    <row r="503" spans="1:14" ht="12.2" customHeight="1" thickBot="1" x14ac:dyDescent="0.25">
      <c r="A503" s="21" t="s">
        <v>625</v>
      </c>
      <c r="B503" s="22">
        <v>20</v>
      </c>
      <c r="C503" s="22">
        <v>13</v>
      </c>
      <c r="D503" s="2" t="s">
        <v>432</v>
      </c>
      <c r="E503" s="22"/>
      <c r="F503" s="18">
        <v>393779.72</v>
      </c>
      <c r="G503" s="18"/>
      <c r="H503" s="18"/>
      <c r="I503" s="18"/>
      <c r="J503" s="18"/>
      <c r="K503" s="19">
        <f t="shared" si="35"/>
        <v>393779.72</v>
      </c>
      <c r="L503" s="23" t="s">
        <v>288</v>
      </c>
      <c r="N503" s="130"/>
    </row>
    <row r="504" spans="1:14" ht="12.2" customHeight="1" thickTop="1" x14ac:dyDescent="0.2">
      <c r="A504" s="97" t="s">
        <v>626</v>
      </c>
      <c r="B504" s="41">
        <v>20</v>
      </c>
      <c r="C504" s="41">
        <v>14</v>
      </c>
      <c r="D504" s="36" t="s">
        <v>432</v>
      </c>
      <c r="E504" s="41"/>
      <c r="F504" s="39">
        <f>SUM(F502:F503)</f>
        <v>1755913.99</v>
      </c>
      <c r="G504" s="39">
        <f>SUM(G502:G503)</f>
        <v>0</v>
      </c>
      <c r="H504" s="39">
        <f>SUM(H502:H503)</f>
        <v>0</v>
      </c>
      <c r="I504" s="39">
        <f>SUM(I502:I503)</f>
        <v>0</v>
      </c>
      <c r="J504" s="39">
        <f>SUM(J502:J503)</f>
        <v>0</v>
      </c>
      <c r="K504" s="39">
        <f t="shared" si="35"/>
        <v>1755913.99</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4962875.1900000004</v>
      </c>
      <c r="G522" s="18">
        <v>1896329.77</v>
      </c>
      <c r="H522" s="18">
        <v>680861.06</v>
      </c>
      <c r="I522" s="18">
        <v>79658.240000000005</v>
      </c>
      <c r="J522" s="18">
        <v>361.5</v>
      </c>
      <c r="K522" s="18">
        <v>1700</v>
      </c>
      <c r="L522" s="69">
        <f>SUM(F522:K522)</f>
        <v>7621785.7600000016</v>
      </c>
      <c r="N522" s="130"/>
    </row>
    <row r="523" spans="1:14" ht="12.2" customHeight="1" x14ac:dyDescent="0.2">
      <c r="A523" s="21" t="s">
        <v>634</v>
      </c>
      <c r="B523" s="22">
        <v>21</v>
      </c>
      <c r="C523" s="22">
        <v>2</v>
      </c>
      <c r="D523" s="2" t="s">
        <v>432</v>
      </c>
      <c r="E523" s="22"/>
      <c r="F523" s="18">
        <v>800179.43</v>
      </c>
      <c r="G523" s="18">
        <v>403091.62</v>
      </c>
      <c r="H523" s="18">
        <v>791079.75</v>
      </c>
      <c r="I523" s="18">
        <v>15579.14</v>
      </c>
      <c r="J523" s="18">
        <v>176.3</v>
      </c>
      <c r="K523" s="18">
        <v>1410</v>
      </c>
      <c r="L523" s="69">
        <f>SUM(F523:K523)</f>
        <v>2011516.24</v>
      </c>
      <c r="N523" s="130"/>
    </row>
    <row r="524" spans="1:14" ht="12.2" customHeight="1" thickBot="1" x14ac:dyDescent="0.25">
      <c r="A524" s="21" t="s">
        <v>635</v>
      </c>
      <c r="B524" s="22">
        <v>21</v>
      </c>
      <c r="C524" s="22">
        <v>3</v>
      </c>
      <c r="D524" s="2" t="s">
        <v>432</v>
      </c>
      <c r="E524" s="22"/>
      <c r="F524" s="18">
        <v>838733.51</v>
      </c>
      <c r="G524" s="18">
        <v>356992.51</v>
      </c>
      <c r="H524" s="18">
        <v>1409527.73</v>
      </c>
      <c r="I524" s="18">
        <v>29257.07</v>
      </c>
      <c r="J524" s="18">
        <v>317.62</v>
      </c>
      <c r="K524" s="18">
        <v>1005</v>
      </c>
      <c r="L524" s="69">
        <f>SUM(F524:K524)</f>
        <v>2635833.44</v>
      </c>
      <c r="N524" s="130"/>
    </row>
    <row r="525" spans="1:14" ht="12.2" customHeight="1" thickTop="1" x14ac:dyDescent="0.2">
      <c r="A525" s="97" t="s">
        <v>63</v>
      </c>
      <c r="B525" s="41">
        <v>21</v>
      </c>
      <c r="C525" s="41">
        <v>4</v>
      </c>
      <c r="D525" s="115" t="s">
        <v>432</v>
      </c>
      <c r="E525" s="41"/>
      <c r="F525" s="81">
        <f>SUM(F522:F524)</f>
        <v>6601788.1299999999</v>
      </c>
      <c r="G525" s="81">
        <f t="shared" ref="G525:L525" si="36">SUM(G522:G524)</f>
        <v>2656413.9000000004</v>
      </c>
      <c r="H525" s="81">
        <f t="shared" si="36"/>
        <v>2881468.54</v>
      </c>
      <c r="I525" s="81">
        <f t="shared" si="36"/>
        <v>124494.45000000001</v>
      </c>
      <c r="J525" s="81">
        <f t="shared" si="36"/>
        <v>855.42</v>
      </c>
      <c r="K525" s="81">
        <f t="shared" si="36"/>
        <v>4115</v>
      </c>
      <c r="L525" s="70">
        <f t="shared" si="36"/>
        <v>12269135.440000001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213578.86</v>
      </c>
      <c r="G527" s="18">
        <v>89058.12</v>
      </c>
      <c r="H527" s="18">
        <v>2269968.83</v>
      </c>
      <c r="I527" s="18">
        <v>0</v>
      </c>
      <c r="J527" s="18">
        <v>0</v>
      </c>
      <c r="K527" s="18">
        <v>0</v>
      </c>
      <c r="L527" s="69">
        <f>SUM(F527:K527)</f>
        <v>2572605.81</v>
      </c>
      <c r="M527" s="8"/>
      <c r="N527" s="164"/>
    </row>
    <row r="528" spans="1:14" s="3" customFormat="1" ht="12.2" customHeight="1" x14ac:dyDescent="0.15">
      <c r="A528" s="21" t="s">
        <v>634</v>
      </c>
      <c r="B528" s="22">
        <v>21</v>
      </c>
      <c r="C528" s="22">
        <v>6</v>
      </c>
      <c r="D528" s="2" t="s">
        <v>432</v>
      </c>
      <c r="E528" s="22"/>
      <c r="F528" s="18">
        <v>104161.39</v>
      </c>
      <c r="G528" s="18">
        <v>43433.22</v>
      </c>
      <c r="H528" s="18">
        <v>2156438.7000000002</v>
      </c>
      <c r="I528" s="18">
        <v>0</v>
      </c>
      <c r="J528" s="18">
        <v>0</v>
      </c>
      <c r="K528" s="18">
        <v>0</v>
      </c>
      <c r="L528" s="69">
        <f>SUM(F528:K528)</f>
        <v>2304033.31</v>
      </c>
      <c r="M528" s="8"/>
      <c r="N528" s="164"/>
    </row>
    <row r="529" spans="1:14" s="3" customFormat="1" ht="12.2" customHeight="1" thickBot="1" x14ac:dyDescent="0.2">
      <c r="A529" s="21" t="s">
        <v>635</v>
      </c>
      <c r="B529" s="22">
        <v>21</v>
      </c>
      <c r="C529" s="22">
        <v>7</v>
      </c>
      <c r="D529" s="2" t="s">
        <v>432</v>
      </c>
      <c r="E529" s="22"/>
      <c r="F529" s="18">
        <v>187652.22</v>
      </c>
      <c r="G529" s="18">
        <v>78247.23</v>
      </c>
      <c r="H529" s="18">
        <v>2343594.16</v>
      </c>
      <c r="I529" s="18">
        <v>0</v>
      </c>
      <c r="J529" s="18">
        <v>0</v>
      </c>
      <c r="K529" s="18">
        <v>0</v>
      </c>
      <c r="L529" s="69">
        <f>SUM(F529:K529)</f>
        <v>2609493.6100000003</v>
      </c>
      <c r="M529" s="8"/>
      <c r="N529" s="164"/>
    </row>
    <row r="530" spans="1:14" s="3" customFormat="1" ht="12.2" customHeight="1" thickTop="1" x14ac:dyDescent="0.15">
      <c r="A530" s="97" t="s">
        <v>65</v>
      </c>
      <c r="B530" s="41">
        <v>21</v>
      </c>
      <c r="C530" s="41">
        <v>8</v>
      </c>
      <c r="D530" s="115" t="s">
        <v>432</v>
      </c>
      <c r="E530" s="41"/>
      <c r="F530" s="70">
        <f>SUM(F527:F529)</f>
        <v>505392.47</v>
      </c>
      <c r="G530" s="70">
        <f t="shared" ref="G530:L530" si="37">SUM(G527:G529)</f>
        <v>210738.57</v>
      </c>
      <c r="H530" s="70">
        <f t="shared" si="37"/>
        <v>6770001.6900000004</v>
      </c>
      <c r="I530" s="70">
        <f t="shared" si="37"/>
        <v>0</v>
      </c>
      <c r="J530" s="70">
        <f t="shared" si="37"/>
        <v>0</v>
      </c>
      <c r="K530" s="70">
        <f t="shared" si="37"/>
        <v>0</v>
      </c>
      <c r="L530" s="70">
        <f t="shared" si="37"/>
        <v>7486132.7300000004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144462.09</v>
      </c>
      <c r="G532" s="18">
        <v>71725.69</v>
      </c>
      <c r="H532" s="18">
        <v>8401.52</v>
      </c>
      <c r="I532" s="18">
        <v>116.3</v>
      </c>
      <c r="J532" s="18">
        <v>0</v>
      </c>
      <c r="K532" s="18">
        <v>176076.23</v>
      </c>
      <c r="L532" s="69">
        <f>SUM(F532:K532)</f>
        <v>400781.82999999996</v>
      </c>
      <c r="M532" s="8"/>
      <c r="N532" s="164"/>
    </row>
    <row r="533" spans="1:14" s="3" customFormat="1" ht="12.2" customHeight="1" x14ac:dyDescent="0.15">
      <c r="A533" s="21" t="s">
        <v>634</v>
      </c>
      <c r="B533" s="22">
        <v>21</v>
      </c>
      <c r="C533" s="22">
        <v>10</v>
      </c>
      <c r="D533" s="2" t="s">
        <v>432</v>
      </c>
      <c r="E533" s="22"/>
      <c r="F533" s="18">
        <v>70453.48</v>
      </c>
      <c r="G533" s="18">
        <v>34980.29</v>
      </c>
      <c r="H533" s="18">
        <v>4097.3900000000003</v>
      </c>
      <c r="I533" s="18">
        <v>56.72</v>
      </c>
      <c r="J533" s="18">
        <v>0</v>
      </c>
      <c r="K533" s="18">
        <v>85871.54</v>
      </c>
      <c r="L533" s="69">
        <f>SUM(F533:K533)</f>
        <v>195459.41999999998</v>
      </c>
      <c r="M533" s="8"/>
      <c r="N533" s="164"/>
    </row>
    <row r="534" spans="1:14" s="3" customFormat="1" ht="12.2" customHeight="1" thickBot="1" x14ac:dyDescent="0.2">
      <c r="A534" s="21" t="s">
        <v>635</v>
      </c>
      <c r="B534" s="22">
        <v>21</v>
      </c>
      <c r="C534" s="22">
        <v>11</v>
      </c>
      <c r="D534" s="2" t="s">
        <v>432</v>
      </c>
      <c r="E534" s="22"/>
      <c r="F534" s="18">
        <v>126925.64</v>
      </c>
      <c r="G534" s="18">
        <v>63018.82</v>
      </c>
      <c r="H534" s="18">
        <v>7381.66</v>
      </c>
      <c r="I534" s="18">
        <v>102.19</v>
      </c>
      <c r="J534" s="18">
        <v>0</v>
      </c>
      <c r="K534" s="18">
        <v>159319.93</v>
      </c>
      <c r="L534" s="69">
        <f>SUM(F534:K534)</f>
        <v>356748.24</v>
      </c>
      <c r="M534" s="8"/>
      <c r="N534" s="164"/>
    </row>
    <row r="535" spans="1:14" s="3" customFormat="1" ht="12.2" customHeight="1" thickTop="1" x14ac:dyDescent="0.15">
      <c r="A535" s="97" t="s">
        <v>67</v>
      </c>
      <c r="B535" s="41">
        <v>21</v>
      </c>
      <c r="C535" s="41">
        <v>12</v>
      </c>
      <c r="D535" s="115" t="s">
        <v>432</v>
      </c>
      <c r="E535" s="41"/>
      <c r="F535" s="70">
        <f>SUM(F532:F534)</f>
        <v>341841.21</v>
      </c>
      <c r="G535" s="70">
        <f t="shared" ref="G535:L535" si="38">SUM(G532:G534)</f>
        <v>169724.80000000002</v>
      </c>
      <c r="H535" s="70">
        <f t="shared" si="38"/>
        <v>19880.57</v>
      </c>
      <c r="I535" s="70">
        <f t="shared" si="38"/>
        <v>275.20999999999998</v>
      </c>
      <c r="J535" s="70">
        <f t="shared" si="38"/>
        <v>0</v>
      </c>
      <c r="K535" s="70">
        <f t="shared" si="38"/>
        <v>421267.7</v>
      </c>
      <c r="L535" s="70">
        <f t="shared" si="38"/>
        <v>952989.49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37118.910000000003</v>
      </c>
      <c r="I537" s="18"/>
      <c r="J537" s="18"/>
      <c r="K537" s="18"/>
      <c r="L537" s="69">
        <f>SUM(F537:K537)</f>
        <v>37118.910000000003</v>
      </c>
      <c r="M537" s="8"/>
      <c r="N537" s="164"/>
    </row>
    <row r="538" spans="1:14" s="3" customFormat="1" ht="12.2" customHeight="1" x14ac:dyDescent="0.15">
      <c r="A538" s="21" t="s">
        <v>634</v>
      </c>
      <c r="B538" s="22">
        <v>21</v>
      </c>
      <c r="C538" s="22">
        <v>14</v>
      </c>
      <c r="D538" s="2" t="s">
        <v>432</v>
      </c>
      <c r="E538" s="22"/>
      <c r="F538" s="18"/>
      <c r="G538" s="18"/>
      <c r="H538" s="18">
        <v>18102.72</v>
      </c>
      <c r="I538" s="18"/>
      <c r="J538" s="18"/>
      <c r="K538" s="18"/>
      <c r="L538" s="69">
        <f>SUM(F538:K538)</f>
        <v>18102.72</v>
      </c>
      <c r="M538" s="8"/>
      <c r="N538" s="164"/>
    </row>
    <row r="539" spans="1:14" s="3" customFormat="1" ht="12.2" customHeight="1" thickBot="1" x14ac:dyDescent="0.2">
      <c r="A539" s="21" t="s">
        <v>635</v>
      </c>
      <c r="B539" s="22">
        <v>21</v>
      </c>
      <c r="C539" s="22">
        <v>15</v>
      </c>
      <c r="D539" s="2" t="s">
        <v>432</v>
      </c>
      <c r="E539" s="22"/>
      <c r="F539" s="18"/>
      <c r="G539" s="18"/>
      <c r="H539" s="18">
        <v>32612.99</v>
      </c>
      <c r="I539" s="18"/>
      <c r="J539" s="18"/>
      <c r="K539" s="18"/>
      <c r="L539" s="69">
        <f>SUM(F539:K539)</f>
        <v>32612.99</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87834.62000000001</v>
      </c>
      <c r="I540" s="70">
        <f t="shared" si="39"/>
        <v>0</v>
      </c>
      <c r="J540" s="70">
        <f t="shared" si="39"/>
        <v>0</v>
      </c>
      <c r="K540" s="70">
        <f t="shared" si="39"/>
        <v>0</v>
      </c>
      <c r="L540" s="70">
        <f t="shared" si="39"/>
        <v>87834.62000000001</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715910.45</v>
      </c>
      <c r="I542" s="18"/>
      <c r="J542" s="18"/>
      <c r="K542" s="18"/>
      <c r="L542" s="69">
        <f>SUM(F542:K542)</f>
        <v>715910.45</v>
      </c>
      <c r="M542" s="8"/>
      <c r="N542" s="164"/>
    </row>
    <row r="543" spans="1:14" s="3" customFormat="1" ht="12.2" customHeight="1" x14ac:dyDescent="0.15">
      <c r="A543" s="21" t="s">
        <v>634</v>
      </c>
      <c r="B543" s="22">
        <v>21</v>
      </c>
      <c r="C543" s="22">
        <v>18</v>
      </c>
      <c r="D543" s="2" t="s">
        <v>432</v>
      </c>
      <c r="E543" s="22"/>
      <c r="F543" s="18"/>
      <c r="G543" s="18"/>
      <c r="H543" s="18">
        <v>677949.86</v>
      </c>
      <c r="I543" s="18"/>
      <c r="J543" s="18"/>
      <c r="K543" s="18"/>
      <c r="L543" s="69">
        <f>SUM(F543:K543)</f>
        <v>677949.86</v>
      </c>
      <c r="M543" s="8"/>
      <c r="N543" s="164"/>
    </row>
    <row r="544" spans="1:14" s="3" customFormat="1" ht="12.2" customHeight="1" thickBot="1" x14ac:dyDescent="0.2">
      <c r="A544" s="21" t="s">
        <v>635</v>
      </c>
      <c r="B544" s="22">
        <v>21</v>
      </c>
      <c r="C544" s="22">
        <v>19</v>
      </c>
      <c r="D544" s="2" t="s">
        <v>432</v>
      </c>
      <c r="E544" s="22"/>
      <c r="F544" s="18"/>
      <c r="G544" s="18"/>
      <c r="H544" s="18">
        <v>799923.63</v>
      </c>
      <c r="I544" s="18"/>
      <c r="J544" s="18"/>
      <c r="K544" s="18"/>
      <c r="L544" s="69">
        <f>SUM(F544:K544)</f>
        <v>799923.63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2193783.94</v>
      </c>
      <c r="I545" s="140">
        <f t="shared" si="40"/>
        <v>0</v>
      </c>
      <c r="J545" s="140">
        <f t="shared" si="40"/>
        <v>0</v>
      </c>
      <c r="K545" s="140">
        <f t="shared" si="40"/>
        <v>0</v>
      </c>
      <c r="L545" s="140">
        <f t="shared" si="40"/>
        <v>2193783.94</v>
      </c>
      <c r="M545" s="8"/>
      <c r="N545" s="164"/>
    </row>
    <row r="546" spans="1:14" s="3" customFormat="1" ht="12.2" customHeight="1" thickTop="1" x14ac:dyDescent="0.15">
      <c r="A546" s="75" t="s">
        <v>72</v>
      </c>
      <c r="B546" s="41">
        <v>21</v>
      </c>
      <c r="C546" s="41">
        <v>21</v>
      </c>
      <c r="D546" s="115" t="s">
        <v>432</v>
      </c>
      <c r="E546" s="41"/>
      <c r="F546" s="70">
        <f>F525+F530+F535+F540+F545</f>
        <v>7449021.8099999996</v>
      </c>
      <c r="G546" s="70">
        <f t="shared" ref="G546:L546" si="41">G525+G530+G535+G540+G545</f>
        <v>3036877.27</v>
      </c>
      <c r="H546" s="70">
        <f t="shared" si="41"/>
        <v>11952969.359999999</v>
      </c>
      <c r="I546" s="70">
        <f t="shared" si="41"/>
        <v>124769.66000000002</v>
      </c>
      <c r="J546" s="70">
        <f t="shared" si="41"/>
        <v>855.42</v>
      </c>
      <c r="K546" s="70">
        <f t="shared" si="41"/>
        <v>425382.7</v>
      </c>
      <c r="L546" s="70">
        <f t="shared" si="41"/>
        <v>22989876.220000003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7621785.7600000016</v>
      </c>
      <c r="G550" s="69">
        <f>L527</f>
        <v>2572605.81</v>
      </c>
      <c r="H550" s="69">
        <f>L532</f>
        <v>400781.82999999996</v>
      </c>
      <c r="I550" s="69">
        <f>L537</f>
        <v>37118.910000000003</v>
      </c>
      <c r="J550" s="69">
        <f>L542</f>
        <v>715910.45</v>
      </c>
      <c r="K550" s="69">
        <f>SUM(F550:J550)</f>
        <v>11348202.760000002</v>
      </c>
      <c r="L550" s="23" t="s">
        <v>288</v>
      </c>
      <c r="M550" s="8"/>
      <c r="N550" s="164"/>
    </row>
    <row r="551" spans="1:14" s="3" customFormat="1" ht="12.2" customHeight="1" x14ac:dyDescent="0.15">
      <c r="A551" s="21" t="s">
        <v>634</v>
      </c>
      <c r="B551" s="22">
        <v>21</v>
      </c>
      <c r="C551" s="22">
        <v>23</v>
      </c>
      <c r="D551" s="2" t="s">
        <v>432</v>
      </c>
      <c r="E551" s="22"/>
      <c r="F551" s="69">
        <f>L523</f>
        <v>2011516.24</v>
      </c>
      <c r="G551" s="69">
        <f>L528</f>
        <v>2304033.31</v>
      </c>
      <c r="H551" s="69">
        <f>L533</f>
        <v>195459.41999999998</v>
      </c>
      <c r="I551" s="69">
        <f>L538</f>
        <v>18102.72</v>
      </c>
      <c r="J551" s="69">
        <f>L543</f>
        <v>677949.86</v>
      </c>
      <c r="K551" s="69">
        <f>SUM(F551:J551)</f>
        <v>5207061.55</v>
      </c>
      <c r="L551" s="23" t="s">
        <v>288</v>
      </c>
      <c r="M551" s="8"/>
      <c r="N551" s="164"/>
    </row>
    <row r="552" spans="1:14" s="3" customFormat="1" ht="12.2" customHeight="1" thickBot="1" x14ac:dyDescent="0.2">
      <c r="A552" s="21" t="s">
        <v>635</v>
      </c>
      <c r="B552" s="22">
        <v>21</v>
      </c>
      <c r="C552" s="22">
        <v>24</v>
      </c>
      <c r="D552" s="2" t="s">
        <v>432</v>
      </c>
      <c r="E552" s="22"/>
      <c r="F552" s="69">
        <f>L524</f>
        <v>2635833.44</v>
      </c>
      <c r="G552" s="69">
        <f>L529</f>
        <v>2609493.6100000003</v>
      </c>
      <c r="H552" s="69">
        <f>L534</f>
        <v>356748.24</v>
      </c>
      <c r="I552" s="69">
        <f>L539</f>
        <v>32612.99</v>
      </c>
      <c r="J552" s="69">
        <f>L544</f>
        <v>799923.63</v>
      </c>
      <c r="K552" s="69">
        <f>SUM(F552:J552)</f>
        <v>6434611.9100000011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12269135.440000001</v>
      </c>
      <c r="G553" s="70">
        <f t="shared" si="42"/>
        <v>7486132.7300000004</v>
      </c>
      <c r="H553" s="70">
        <f t="shared" si="42"/>
        <v>952989.49</v>
      </c>
      <c r="I553" s="70">
        <f t="shared" si="42"/>
        <v>87834.62000000001</v>
      </c>
      <c r="J553" s="70">
        <f t="shared" si="42"/>
        <v>2193783.94</v>
      </c>
      <c r="K553" s="70">
        <f t="shared" si="42"/>
        <v>22989876.220000003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614575.61</v>
      </c>
      <c r="G558" s="18">
        <v>234668.08</v>
      </c>
      <c r="H558" s="18">
        <v>170524.32</v>
      </c>
      <c r="I558" s="18">
        <v>43396.13</v>
      </c>
      <c r="J558" s="18"/>
      <c r="K558" s="18">
        <v>3376.78</v>
      </c>
      <c r="L558" s="69">
        <f>SUM(F558:K558)</f>
        <v>1066540.92</v>
      </c>
      <c r="M558" s="8"/>
      <c r="N558" s="164"/>
    </row>
    <row r="559" spans="1:14" s="3" customFormat="1" ht="12.2" customHeight="1" x14ac:dyDescent="0.15">
      <c r="A559" s="21" t="s">
        <v>634</v>
      </c>
      <c r="B559" s="22">
        <v>22</v>
      </c>
      <c r="C559" s="22">
        <v>2</v>
      </c>
      <c r="D559" s="2" t="s">
        <v>432</v>
      </c>
      <c r="E559" s="22"/>
      <c r="F559" s="18">
        <v>33078.480000000003</v>
      </c>
      <c r="G559" s="18">
        <v>11544.68</v>
      </c>
      <c r="H559" s="18">
        <v>69242.36</v>
      </c>
      <c r="I559" s="18">
        <v>2039.9</v>
      </c>
      <c r="J559" s="18"/>
      <c r="K559" s="18">
        <v>1646.84</v>
      </c>
      <c r="L559" s="69">
        <f>SUM(F559:K559)</f>
        <v>117552.26</v>
      </c>
      <c r="M559" s="8"/>
      <c r="N559" s="164"/>
    </row>
    <row r="560" spans="1:14" s="3" customFormat="1" ht="12.2" customHeight="1" thickBot="1" x14ac:dyDescent="0.2">
      <c r="A560" s="21" t="s">
        <v>635</v>
      </c>
      <c r="B560" s="22">
        <v>22</v>
      </c>
      <c r="C560" s="22">
        <v>3</v>
      </c>
      <c r="D560" s="2" t="s">
        <v>432</v>
      </c>
      <c r="E560" s="22"/>
      <c r="F560" s="18">
        <v>62292.6</v>
      </c>
      <c r="G560" s="18">
        <v>21446.799999999999</v>
      </c>
      <c r="H560" s="18">
        <v>140994.94</v>
      </c>
      <c r="I560" s="18">
        <v>4086.86</v>
      </c>
      <c r="J560" s="18"/>
      <c r="K560" s="18">
        <v>5950.73</v>
      </c>
      <c r="L560" s="69">
        <f>SUM(F560:K560)</f>
        <v>234771.93</v>
      </c>
      <c r="M560" s="8"/>
      <c r="N560" s="164"/>
    </row>
    <row r="561" spans="1:14" s="3" customFormat="1" ht="12.2" customHeight="1" thickTop="1" x14ac:dyDescent="0.15">
      <c r="A561" s="97" t="s">
        <v>63</v>
      </c>
      <c r="B561" s="41">
        <v>22</v>
      </c>
      <c r="C561" s="41">
        <v>4</v>
      </c>
      <c r="D561" s="115" t="s">
        <v>432</v>
      </c>
      <c r="E561" s="41"/>
      <c r="F561" s="81">
        <f t="shared" ref="F561:L561" si="43">SUM(F558:F560)</f>
        <v>709946.69</v>
      </c>
      <c r="G561" s="81">
        <f t="shared" si="43"/>
        <v>267659.56</v>
      </c>
      <c r="H561" s="81">
        <f t="shared" si="43"/>
        <v>380761.62</v>
      </c>
      <c r="I561" s="81">
        <f t="shared" si="43"/>
        <v>49522.89</v>
      </c>
      <c r="J561" s="81">
        <f t="shared" si="43"/>
        <v>0</v>
      </c>
      <c r="K561" s="81">
        <f t="shared" si="43"/>
        <v>10974.349999999999</v>
      </c>
      <c r="L561" s="70">
        <f t="shared" si="43"/>
        <v>1418865.1099999999</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709946.69</v>
      </c>
      <c r="G572" s="70">
        <f t="shared" ref="G572:L572" si="46">G561+G566+G571</f>
        <v>267659.56</v>
      </c>
      <c r="H572" s="70">
        <f t="shared" si="46"/>
        <v>380761.62</v>
      </c>
      <c r="I572" s="70">
        <f t="shared" si="46"/>
        <v>49522.89</v>
      </c>
      <c r="J572" s="70">
        <f t="shared" si="46"/>
        <v>0</v>
      </c>
      <c r="K572" s="70">
        <f t="shared" si="46"/>
        <v>10974.349999999999</v>
      </c>
      <c r="L572" s="70">
        <f t="shared" si="46"/>
        <v>1418865.1099999999</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v>9600</v>
      </c>
      <c r="I579" s="69">
        <f t="shared" si="47"/>
        <v>9600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51322.6</v>
      </c>
      <c r="I580" s="69">
        <f t="shared" si="47"/>
        <v>51322.6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563300.24</v>
      </c>
      <c r="G583" s="18">
        <v>734844.68</v>
      </c>
      <c r="H583" s="18">
        <v>1257402.3999999999</v>
      </c>
      <c r="I583" s="69">
        <f t="shared" si="47"/>
        <v>2555547.3199999998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113166.19</v>
      </c>
      <c r="I585" s="69">
        <f t="shared" si="47"/>
        <v>113166.19</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563300.24</v>
      </c>
      <c r="G589" s="79">
        <f t="shared" ref="G589:I589" si="48">SUM(G576:G588)</f>
        <v>734844.68</v>
      </c>
      <c r="H589" s="79">
        <f t="shared" si="48"/>
        <v>1431491.19</v>
      </c>
      <c r="I589" s="79">
        <f t="shared" si="48"/>
        <v>2729636.11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544523.43999999994</v>
      </c>
      <c r="I592" s="18">
        <v>265561.48</v>
      </c>
      <c r="J592" s="18">
        <v>478422.99</v>
      </c>
      <c r="K592" s="80">
        <f t="shared" ref="K592:K598" si="49">SUM(H592:J592)</f>
        <v>1288507.9099999999</v>
      </c>
      <c r="L592" s="23" t="s">
        <v>288</v>
      </c>
      <c r="M592" s="8"/>
      <c r="N592" s="164"/>
    </row>
    <row r="593" spans="1:14" s="3" customFormat="1" ht="12.2" customHeight="1" x14ac:dyDescent="0.15">
      <c r="A593" s="3" t="s">
        <v>638</v>
      </c>
      <c r="B593" s="22">
        <v>23</v>
      </c>
      <c r="C593" s="22">
        <v>2</v>
      </c>
      <c r="D593" s="2" t="s">
        <v>432</v>
      </c>
      <c r="E593" s="22"/>
      <c r="F593" s="78">
        <v>2722</v>
      </c>
      <c r="G593" s="79" t="s">
        <v>97</v>
      </c>
      <c r="H593" s="18">
        <v>715910.45</v>
      </c>
      <c r="I593" s="18">
        <v>677949.86</v>
      </c>
      <c r="J593" s="18">
        <v>799923.63</v>
      </c>
      <c r="K593" s="80">
        <f t="shared" si="49"/>
        <v>2193783.94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91182</v>
      </c>
      <c r="K594" s="80">
        <f t="shared" si="49"/>
        <v>91182</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6244.33</v>
      </c>
      <c r="J595" s="18">
        <v>92638.81</v>
      </c>
      <c r="K595" s="80">
        <f t="shared" si="49"/>
        <v>98883.14</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v>155</v>
      </c>
      <c r="J596" s="18">
        <v>7673.32</v>
      </c>
      <c r="K596" s="80">
        <f t="shared" si="49"/>
        <v>7828.32</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1260433.8899999999</v>
      </c>
      <c r="I599" s="81">
        <f>SUM(I592:I598)</f>
        <v>949910.66999999993</v>
      </c>
      <c r="J599" s="81">
        <f>SUM(J592:J598)</f>
        <v>1469840.7500000002</v>
      </c>
      <c r="K599" s="81">
        <f>SUM(K592:K598)</f>
        <v>3680185.3099999996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231170.71</v>
      </c>
      <c r="I605" s="18">
        <v>74685.03</v>
      </c>
      <c r="J605" s="18">
        <v>410077.57</v>
      </c>
      <c r="K605" s="80">
        <f>SUM(H605:J605)</f>
        <v>715933.31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231170.71</v>
      </c>
      <c r="I606" s="81">
        <f>SUM(I603:I605)</f>
        <v>74685.03</v>
      </c>
      <c r="J606" s="81">
        <f>SUM(J603:J605)</f>
        <v>410077.57</v>
      </c>
      <c r="K606" s="81">
        <f>SUM(K603:K605)</f>
        <v>715933.31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2625</v>
      </c>
      <c r="G612" s="18">
        <v>715.62</v>
      </c>
      <c r="H612" s="18"/>
      <c r="I612" s="18"/>
      <c r="J612" s="18"/>
      <c r="K612" s="18"/>
      <c r="L612" s="69">
        <f>SUM(F612:K612)</f>
        <v>3340.62</v>
      </c>
      <c r="M612" s="8"/>
      <c r="N612" s="164"/>
    </row>
    <row r="613" spans="1:14" s="3" customFormat="1" ht="12.2" customHeight="1" x14ac:dyDescent="0.15">
      <c r="A613" s="21" t="s">
        <v>634</v>
      </c>
      <c r="B613" s="22">
        <v>23</v>
      </c>
      <c r="C613" s="22">
        <v>14</v>
      </c>
      <c r="D613" s="2" t="s">
        <v>432</v>
      </c>
      <c r="E613" s="22"/>
      <c r="F613" s="18">
        <v>1225</v>
      </c>
      <c r="G613" s="18">
        <v>417.47</v>
      </c>
      <c r="H613" s="18"/>
      <c r="I613" s="18"/>
      <c r="J613" s="18"/>
      <c r="K613" s="18"/>
      <c r="L613" s="69">
        <f>SUM(F613:K613)</f>
        <v>1642.47</v>
      </c>
      <c r="M613" s="8"/>
      <c r="N613" s="164"/>
    </row>
    <row r="614" spans="1:14" s="3" customFormat="1" ht="12.2" customHeight="1" thickBot="1" x14ac:dyDescent="0.2">
      <c r="A614" s="21" t="s">
        <v>645</v>
      </c>
      <c r="B614" s="22">
        <v>23</v>
      </c>
      <c r="C614" s="22">
        <v>15</v>
      </c>
      <c r="D614" s="2" t="s">
        <v>432</v>
      </c>
      <c r="E614" s="22"/>
      <c r="F614" s="18">
        <v>7101.7</v>
      </c>
      <c r="G614" s="18">
        <v>2030.46</v>
      </c>
      <c r="H614" s="18"/>
      <c r="I614" s="18"/>
      <c r="J614" s="18"/>
      <c r="K614" s="18"/>
      <c r="L614" s="69">
        <f>SUM(F614:K614)</f>
        <v>9132.16</v>
      </c>
      <c r="M614" s="8"/>
      <c r="N614" s="164"/>
    </row>
    <row r="615" spans="1:14" s="3" customFormat="1" ht="12.2" customHeight="1" thickTop="1" x14ac:dyDescent="0.15">
      <c r="A615" s="75" t="s">
        <v>340</v>
      </c>
      <c r="B615" s="41">
        <v>23</v>
      </c>
      <c r="C615" s="41">
        <v>16</v>
      </c>
      <c r="D615" s="36" t="s">
        <v>432</v>
      </c>
      <c r="E615" s="41"/>
      <c r="F615" s="81">
        <f t="shared" ref="F615:L615" si="50">SUM(F612:F614)</f>
        <v>10951.7</v>
      </c>
      <c r="G615" s="81">
        <f t="shared" si="50"/>
        <v>3163.55</v>
      </c>
      <c r="H615" s="81">
        <f t="shared" si="50"/>
        <v>0</v>
      </c>
      <c r="I615" s="81">
        <f t="shared" si="50"/>
        <v>0</v>
      </c>
      <c r="J615" s="81">
        <f t="shared" si="50"/>
        <v>0</v>
      </c>
      <c r="K615" s="81">
        <f t="shared" si="50"/>
        <v>0</v>
      </c>
      <c r="L615" s="70">
        <f t="shared" si="50"/>
        <v>14115.25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1400000</v>
      </c>
      <c r="H618" s="80">
        <f>SUM(F52)</f>
        <v>1400000</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252870.91000000003</v>
      </c>
      <c r="H619" s="80">
        <f>SUM(G52)</f>
        <v>252870.91000000003</v>
      </c>
      <c r="I619" s="87" t="s">
        <v>872</v>
      </c>
      <c r="J619" s="80">
        <f>G619-H619</f>
        <v>0</v>
      </c>
      <c r="K619" s="80"/>
      <c r="L619" s="80"/>
      <c r="M619" s="8"/>
    </row>
    <row r="620" spans="1:14" s="3" customFormat="1" ht="12.2" customHeight="1" x14ac:dyDescent="0.15">
      <c r="A620" s="74"/>
      <c r="B620" s="22"/>
      <c r="C620" s="22"/>
      <c r="D620" s="22"/>
      <c r="E620" s="22"/>
      <c r="F620" s="87" t="s">
        <v>685</v>
      </c>
      <c r="G620" s="80">
        <f>SUM(H19)</f>
        <v>1471799.61</v>
      </c>
      <c r="H620" s="80">
        <f>SUM(H52)</f>
        <v>1471799.6099999999</v>
      </c>
      <c r="I620" s="87" t="s">
        <v>873</v>
      </c>
      <c r="J620" s="80">
        <f>G620-H620</f>
        <v>0</v>
      </c>
      <c r="K620" s="80"/>
      <c r="L620" s="80"/>
      <c r="M620" s="8"/>
    </row>
    <row r="621" spans="1:14" s="3" customFormat="1" ht="12.2" customHeight="1" x14ac:dyDescent="0.15">
      <c r="A621" s="74"/>
      <c r="B621" s="22"/>
      <c r="C621" s="22"/>
      <c r="D621" s="22"/>
      <c r="E621" s="22"/>
      <c r="F621" s="87" t="s">
        <v>686</v>
      </c>
      <c r="G621" s="80">
        <f>SUM(I19)</f>
        <v>32732177.240000002</v>
      </c>
      <c r="H621" s="80">
        <f>SUM(I52)</f>
        <v>32732177.240000002</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1400000</v>
      </c>
      <c r="H623" s="80">
        <f>F477</f>
        <v>1399999.9999999851</v>
      </c>
      <c r="I623" s="87" t="s">
        <v>101</v>
      </c>
      <c r="J623" s="80">
        <f t="shared" ref="J623:J656" si="51">G623-H623</f>
        <v>1.4901161193847656E-8</v>
      </c>
      <c r="K623" s="80"/>
      <c r="L623" s="80"/>
      <c r="M623" s="8"/>
    </row>
    <row r="624" spans="1:14" s="3" customFormat="1" ht="12.2" customHeight="1" x14ac:dyDescent="0.15">
      <c r="A624" s="74"/>
      <c r="B624" s="22"/>
      <c r="C624" s="85"/>
      <c r="D624" s="85"/>
      <c r="E624" s="85"/>
      <c r="F624" s="85" t="s">
        <v>862</v>
      </c>
      <c r="G624" s="80">
        <f>G51</f>
        <v>304756.37</v>
      </c>
      <c r="H624" s="80">
        <f>G477</f>
        <v>304756.37000000011</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32732177.240000002</v>
      </c>
      <c r="H626" s="80">
        <f>I477</f>
        <v>32732177.240000006</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73208740.320000008</v>
      </c>
      <c r="H628" s="80">
        <f>SUM(F469)</f>
        <v>73208740.319999993</v>
      </c>
      <c r="I628" s="87" t="s">
        <v>106</v>
      </c>
      <c r="J628" s="80">
        <f>G628-H628</f>
        <v>0</v>
      </c>
      <c r="K628" s="67"/>
      <c r="L628" s="69"/>
      <c r="M628" s="8"/>
    </row>
    <row r="629" spans="1:13" s="3" customFormat="1" ht="12.2" customHeight="1" x14ac:dyDescent="0.15">
      <c r="A629" s="21"/>
      <c r="B629" s="22"/>
      <c r="C629" s="22"/>
      <c r="D629" s="22"/>
      <c r="E629" s="22"/>
      <c r="F629" s="86" t="s">
        <v>659</v>
      </c>
      <c r="G629" s="80">
        <f>G194</f>
        <v>2223724.7600000002</v>
      </c>
      <c r="H629" s="80">
        <f>SUM(G469)</f>
        <v>2223724.7600000002</v>
      </c>
      <c r="I629" s="87" t="s">
        <v>107</v>
      </c>
      <c r="J629" s="80">
        <f>G629-H629</f>
        <v>0</v>
      </c>
      <c r="K629" s="67"/>
      <c r="L629" s="69"/>
      <c r="M629" s="8"/>
    </row>
    <row r="630" spans="1:13" s="3" customFormat="1" ht="12.2" customHeight="1" x14ac:dyDescent="0.15">
      <c r="A630" s="21"/>
      <c r="B630" s="22"/>
      <c r="C630" s="22"/>
      <c r="D630" s="22"/>
      <c r="E630" s="22"/>
      <c r="F630" s="86" t="s">
        <v>660</v>
      </c>
      <c r="G630" s="80">
        <f>H194</f>
        <v>11699945.799999999</v>
      </c>
      <c r="H630" s="80">
        <f>SUM(H469)</f>
        <v>11699945.800000001</v>
      </c>
      <c r="I630" s="87" t="s">
        <v>108</v>
      </c>
      <c r="J630" s="80">
        <f>G630-H630</f>
        <v>0</v>
      </c>
      <c r="K630" s="67"/>
      <c r="L630" s="69"/>
      <c r="M630" s="8"/>
    </row>
    <row r="631" spans="1:13" s="3" customFormat="1" ht="12.2" customHeight="1" x14ac:dyDescent="0.15">
      <c r="A631" s="21"/>
      <c r="B631" s="22"/>
      <c r="C631" s="22"/>
      <c r="D631" s="22"/>
      <c r="E631" s="22"/>
      <c r="F631" s="86" t="s">
        <v>661</v>
      </c>
      <c r="G631" s="80">
        <f>I194</f>
        <v>32732177.240000002</v>
      </c>
      <c r="H631" s="80">
        <f>SUM(I469)</f>
        <v>32732177.240000002</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69682904.480000004</v>
      </c>
      <c r="H633" s="80">
        <f>SUM(F473)</f>
        <v>69682904.480000004</v>
      </c>
      <c r="I633" s="87" t="s">
        <v>111</v>
      </c>
      <c r="J633" s="80">
        <f t="shared" si="51"/>
        <v>0</v>
      </c>
      <c r="K633" s="67"/>
      <c r="L633" s="69"/>
      <c r="M633" s="8"/>
    </row>
    <row r="634" spans="1:13" s="3" customFormat="1" ht="12.2" customHeight="1" x14ac:dyDescent="0.15">
      <c r="A634" s="21"/>
      <c r="B634" s="22"/>
      <c r="C634" s="22"/>
      <c r="D634" s="22"/>
      <c r="E634" s="22"/>
      <c r="F634" s="86" t="s">
        <v>395</v>
      </c>
      <c r="G634" s="80">
        <f>SUM(L353)</f>
        <v>11260286.059999999</v>
      </c>
      <c r="H634" s="80">
        <f>SUM(H473)</f>
        <v>11260286.060000001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878229.01</v>
      </c>
      <c r="H635" s="80">
        <f>I370</f>
        <v>878229.01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2036257.59</v>
      </c>
      <c r="H636" s="80">
        <f>SUM(G473)</f>
        <v>2036257.59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1735147.45</v>
      </c>
      <c r="H637" s="80">
        <f>SUM(I473)</f>
        <v>1735147.45</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3680185.3099999996</v>
      </c>
      <c r="H648" s="80">
        <f>L209+L227+L245</f>
        <v>3680185.31</v>
      </c>
      <c r="I648" s="87" t="s">
        <v>396</v>
      </c>
      <c r="J648" s="80">
        <f t="shared" si="51"/>
        <v>0</v>
      </c>
      <c r="K648" s="67"/>
      <c r="L648" s="69"/>
      <c r="M648" s="8"/>
    </row>
    <row r="649" spans="1:13" s="3" customFormat="1" ht="12.2" customHeight="1" x14ac:dyDescent="0.15">
      <c r="A649" s="21"/>
      <c r="B649" s="22"/>
      <c r="C649" s="22"/>
      <c r="D649" s="22"/>
      <c r="E649" s="22"/>
      <c r="F649" s="86" t="s">
        <v>52</v>
      </c>
      <c r="G649" s="80">
        <f>K606</f>
        <v>715933.31</v>
      </c>
      <c r="H649" s="80">
        <f>(J258+J339)-(J256+J337)</f>
        <v>715933.31</v>
      </c>
      <c r="I649" s="87" t="s">
        <v>699</v>
      </c>
      <c r="J649" s="80">
        <f t="shared" si="51"/>
        <v>0</v>
      </c>
      <c r="K649" s="67"/>
      <c r="L649" s="69"/>
      <c r="M649" s="8"/>
    </row>
    <row r="650" spans="1:13" s="3" customFormat="1" ht="12.2" customHeight="1" x14ac:dyDescent="0.15">
      <c r="A650" s="21"/>
      <c r="B650" s="22"/>
      <c r="C650" s="22"/>
      <c r="D650" s="22"/>
      <c r="E650" s="22"/>
      <c r="F650" s="86" t="s">
        <v>387</v>
      </c>
      <c r="G650" s="80">
        <f>L209</f>
        <v>1260433.8899999999</v>
      </c>
      <c r="H650" s="80">
        <f>H599</f>
        <v>1260433.8899999999</v>
      </c>
      <c r="I650" s="87" t="s">
        <v>388</v>
      </c>
      <c r="J650" s="80">
        <f t="shared" si="51"/>
        <v>0</v>
      </c>
      <c r="K650" s="67"/>
      <c r="L650" s="69"/>
      <c r="M650" s="8"/>
    </row>
    <row r="651" spans="1:13" s="3" customFormat="1" ht="12.2" customHeight="1" x14ac:dyDescent="0.15">
      <c r="A651" s="21"/>
      <c r="B651" s="22"/>
      <c r="C651" s="22"/>
      <c r="D651" s="22"/>
      <c r="E651" s="22"/>
      <c r="F651" s="86" t="s">
        <v>392</v>
      </c>
      <c r="G651" s="80">
        <f>L227</f>
        <v>949910.67</v>
      </c>
      <c r="H651" s="80">
        <f>I599</f>
        <v>949910.66999999993</v>
      </c>
      <c r="I651" s="87" t="s">
        <v>389</v>
      </c>
      <c r="J651" s="80">
        <f t="shared" si="51"/>
        <v>0</v>
      </c>
      <c r="K651" s="67"/>
      <c r="L651" s="69"/>
      <c r="M651" s="8"/>
    </row>
    <row r="652" spans="1:13" s="3" customFormat="1" ht="12.2" customHeight="1" x14ac:dyDescent="0.15">
      <c r="A652" s="21"/>
      <c r="B652" s="22"/>
      <c r="C652" s="22"/>
      <c r="D652" s="22"/>
      <c r="E652" s="22"/>
      <c r="F652" s="86" t="s">
        <v>393</v>
      </c>
      <c r="G652" s="80">
        <f>L245</f>
        <v>1469840.75</v>
      </c>
      <c r="H652" s="80">
        <f>J599</f>
        <v>1469840.7500000002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188051</v>
      </c>
      <c r="H653" s="80">
        <f>K264+K346</f>
        <v>188051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34884310.579999998</v>
      </c>
      <c r="G661" s="13">
        <f>(L230+L310+L360)</f>
        <v>14881393.820000002</v>
      </c>
      <c r="H661" s="13">
        <f>(L248+L329+L361)</f>
        <v>31208557.840000004</v>
      </c>
      <c r="I661" s="13">
        <f>SUM(F661:H661)</f>
        <v>80974262.24000001</v>
      </c>
      <c r="J661" s="13"/>
      <c r="K661" s="13"/>
      <c r="L661" s="13"/>
      <c r="M661" s="9"/>
    </row>
    <row r="662" spans="1:13" s="3" customFormat="1" ht="12.2" customHeight="1" x14ac:dyDescent="0.2">
      <c r="A662" s="1" t="s">
        <v>127</v>
      </c>
      <c r="F662" s="13">
        <f>(L359/IF(SUM(L359:L361)=0,1,SUM(L359:L361))*(SUM(G97:G110)))</f>
        <v>373387.07176214026</v>
      </c>
      <c r="G662" s="13">
        <f>(L360/IF(SUM(L359:L361)=0,1,SUM(L359:L361))*(SUM(G97:G110)))</f>
        <v>149023.29756937659</v>
      </c>
      <c r="H662" s="13">
        <f>(L361/IF(SUM(L359:L361)=0,1,SUM(L359:L361))*(SUM(G97:G110)))</f>
        <v>241864.87066848314</v>
      </c>
      <c r="I662" s="13">
        <f>SUM(F662:H662)</f>
        <v>764275.24</v>
      </c>
      <c r="J662"/>
      <c r="K662" s="13"/>
      <c r="L662" s="13"/>
      <c r="M662" s="8"/>
    </row>
    <row r="663" spans="1:13" s="3" customFormat="1" ht="12.2" customHeight="1" x14ac:dyDescent="0.2">
      <c r="A663" s="1" t="s">
        <v>128</v>
      </c>
      <c r="F663" s="13">
        <f>(L209+L288)-(J209+J288)</f>
        <v>1409931.19</v>
      </c>
      <c r="G663" s="13">
        <f>(L227+L307)-(J227+J307)</f>
        <v>1022819.79</v>
      </c>
      <c r="H663" s="13">
        <f>(L245+L326)-(J245+J326)</f>
        <v>1602874.88</v>
      </c>
      <c r="I663" s="13">
        <f>SUM(F663:H663)</f>
        <v>4035625.86</v>
      </c>
      <c r="J663"/>
      <c r="K663" s="13"/>
      <c r="L663" s="13"/>
      <c r="M663" s="9"/>
    </row>
    <row r="664" spans="1:13" s="3" customFormat="1" ht="12.2" customHeight="1" x14ac:dyDescent="0.15">
      <c r="A664" s="141" t="s">
        <v>129</v>
      </c>
      <c r="B664" s="124"/>
      <c r="C664" s="124"/>
      <c r="D664" s="124"/>
      <c r="E664" s="124"/>
      <c r="F664" s="142">
        <f>SUM(F576:F588)+SUM(H603:H605)+SUM(L612)</f>
        <v>797811.57</v>
      </c>
      <c r="G664" s="142">
        <f>SUM(G576:G588)+SUM(I603:I605)+L613</f>
        <v>811172.18</v>
      </c>
      <c r="H664" s="142">
        <f>SUM(H576:H588)+SUM(J603:J605)+L614</f>
        <v>1850700.92</v>
      </c>
      <c r="I664" s="13">
        <f>SUM(F664:H664)</f>
        <v>3459684.67</v>
      </c>
      <c r="J664" s="13"/>
      <c r="K664" s="13"/>
      <c r="L664" s="13"/>
      <c r="M664" s="9"/>
    </row>
    <row r="665" spans="1:13" s="3" customFormat="1" ht="12.2" customHeight="1" x14ac:dyDescent="0.15">
      <c r="A665" s="1" t="s">
        <v>130</v>
      </c>
      <c r="F665" s="13">
        <f>F661-SUM(F662:F664)</f>
        <v>32303180.748237859</v>
      </c>
      <c r="G665" s="13">
        <f>G661-SUM(G662:G664)</f>
        <v>12898378.552430626</v>
      </c>
      <c r="H665" s="13">
        <f>H661-SUM(H662:H664)</f>
        <v>27513117.169331521</v>
      </c>
      <c r="I665" s="13">
        <f>I661-SUM(I662:I664)</f>
        <v>72714676.470000014</v>
      </c>
      <c r="J665" s="13"/>
      <c r="K665" s="13"/>
      <c r="L665" s="13"/>
      <c r="M665" s="8"/>
    </row>
    <row r="666" spans="1:13" s="3" customFormat="1" ht="12.2" customHeight="1" x14ac:dyDescent="0.2">
      <c r="A666" s="1" t="s">
        <v>131</v>
      </c>
      <c r="F666" s="182">
        <v>1576.17</v>
      </c>
      <c r="G666" s="183">
        <v>768.53</v>
      </c>
      <c r="H666" s="183">
        <v>1384.4</v>
      </c>
      <c r="I666" s="13">
        <f>SUM(F666:H666)</f>
        <v>3729.1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20494.73</v>
      </c>
      <c r="G668" s="13">
        <f>ROUND(G665/G666,2)</f>
        <v>16783.18</v>
      </c>
      <c r="H668" s="13">
        <f>ROUND(H665/H666,2)</f>
        <v>19873.68</v>
      </c>
      <c r="I668" s="13">
        <f>ROUND(I665/I666,2)</f>
        <v>19499.259999999998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-15.84</v>
      </c>
      <c r="I671" s="13">
        <f>SUM(F671:H671)</f>
        <v>-15.84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20494.73</v>
      </c>
      <c r="G673" s="13">
        <f>ROUND((G665+G670)/(G666+G671),2)</f>
        <v>16783.18</v>
      </c>
      <c r="H673" s="13">
        <f>ROUND((H665+H670)/(H666+H671),2)</f>
        <v>20103.7</v>
      </c>
      <c r="I673" s="13">
        <f>ROUND((I665+I670)/(I666+I671),2)</f>
        <v>19582.439999999999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5" tint="0.39997558519241921"/>
    <pageSetUpPr fitToPage="1"/>
  </sheetPr>
  <dimension ref="B2:H33"/>
  <sheetViews>
    <sheetView zoomScaleNormal="100" workbookViewId="0">
      <selection activeCell="E15" sqref="E15"/>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508351.96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93591.54+23977.28+215757.31</f>
        <v>333326.13</v>
      </c>
      <c r="F9" s="271" t="s">
        <v>1612</v>
      </c>
    </row>
    <row r="10" spans="2:8" x14ac:dyDescent="0.25">
      <c r="B10" s="270"/>
      <c r="C10" s="270"/>
      <c r="D10" s="270"/>
      <c r="E10" s="270"/>
      <c r="F10" s="270"/>
    </row>
    <row r="11" spans="2:8" x14ac:dyDescent="0.25">
      <c r="B11" s="270"/>
      <c r="C11" s="274" t="s">
        <v>1616</v>
      </c>
      <c r="D11" s="271" t="s">
        <v>1619</v>
      </c>
      <c r="E11" s="259">
        <f>4724.13+6254.19+3919.37</f>
        <v>14897.689999999999</v>
      </c>
      <c r="F11" s="271" t="s">
        <v>1613</v>
      </c>
    </row>
    <row r="12" spans="2:8" x14ac:dyDescent="0.25">
      <c r="B12" s="270"/>
      <c r="C12" s="270"/>
      <c r="D12" s="271"/>
      <c r="E12" s="270"/>
      <c r="F12" s="270"/>
    </row>
    <row r="13" spans="2:8" x14ac:dyDescent="0.25">
      <c r="B13" s="270"/>
      <c r="C13" s="271" t="s">
        <v>1606</v>
      </c>
      <c r="D13" s="271" t="s">
        <v>1620</v>
      </c>
      <c r="E13" s="259">
        <f>40325.74+2307.46+70922.79</f>
        <v>113555.98999999999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46572.15</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92D050"/>
    <pageSetUpPr fitToPage="1"/>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1" t="str">
        <f>'DOE25'!A2</f>
        <v>Rochester</v>
      </c>
      <c r="C5" s="322"/>
      <c r="D5" s="322"/>
      <c r="E5" s="322"/>
      <c r="F5" s="322"/>
    </row>
    <row r="8" spans="1:9" ht="18" x14ac:dyDescent="0.25">
      <c r="A8" s="239" t="s">
        <v>1548</v>
      </c>
      <c r="F8" s="246" t="s">
        <v>1566</v>
      </c>
    </row>
    <row r="9" spans="1:9" ht="15" x14ac:dyDescent="0.2">
      <c r="A9" s="237" t="s">
        <v>1549</v>
      </c>
      <c r="B9" s="240">
        <f>'DOE25'!G97</f>
        <v>764275.24</v>
      </c>
      <c r="F9" s="237" t="s">
        <v>1562</v>
      </c>
    </row>
    <row r="10" spans="1:9" ht="15" x14ac:dyDescent="0.2">
      <c r="A10" s="237" t="s">
        <v>1550</v>
      </c>
      <c r="B10" s="240">
        <f>'DOE25'!G112-'DOE25'!G97</f>
        <v>0</v>
      </c>
      <c r="F10" s="237" t="s">
        <v>1563</v>
      </c>
    </row>
    <row r="11" spans="1:9" ht="15" x14ac:dyDescent="0.2">
      <c r="A11" s="237" t="s">
        <v>1551</v>
      </c>
      <c r="B11" s="240">
        <f>'DOE25'!G140</f>
        <v>89335.360000000001</v>
      </c>
      <c r="F11" s="237" t="s">
        <v>1564</v>
      </c>
    </row>
    <row r="12" spans="1:9" ht="15" x14ac:dyDescent="0.2">
      <c r="A12" s="237" t="s">
        <v>1552</v>
      </c>
      <c r="B12" s="240">
        <f>'DOE25'!G170</f>
        <v>1182063.1600000001</v>
      </c>
      <c r="F12" s="237" t="s">
        <v>1565</v>
      </c>
    </row>
    <row r="13" spans="1:9" ht="15" x14ac:dyDescent="0.2">
      <c r="A13" s="237" t="s">
        <v>1553</v>
      </c>
      <c r="B13" s="240">
        <f>'DOE25'!G193-'DOE25'!G180</f>
        <v>0</v>
      </c>
      <c r="F13" s="237" t="s">
        <v>1575</v>
      </c>
    </row>
    <row r="14" spans="1:9" ht="18" x14ac:dyDescent="0.25">
      <c r="A14" s="239" t="s">
        <v>732</v>
      </c>
      <c r="B14" s="241">
        <f>SUM(B9:B13)</f>
        <v>2035673.7600000002</v>
      </c>
    </row>
    <row r="16" spans="1:9" ht="18" x14ac:dyDescent="0.25">
      <c r="A16" s="239" t="s">
        <v>783</v>
      </c>
      <c r="F16" s="246" t="s">
        <v>1567</v>
      </c>
    </row>
    <row r="17" spans="1:6" ht="15" x14ac:dyDescent="0.2">
      <c r="A17" s="237" t="s">
        <v>1554</v>
      </c>
      <c r="B17" s="240">
        <f>'DOE25'!L363-'DOE25'!L362</f>
        <v>2036257.59</v>
      </c>
      <c r="F17" s="237" t="s">
        <v>1568</v>
      </c>
    </row>
    <row r="18" spans="1:6" ht="15" x14ac:dyDescent="0.2">
      <c r="A18" s="237" t="s">
        <v>1555</v>
      </c>
      <c r="B18" s="250">
        <v>0</v>
      </c>
      <c r="F18" s="246" t="s">
        <v>1592</v>
      </c>
    </row>
    <row r="19" spans="1:6" ht="18" x14ac:dyDescent="0.25">
      <c r="A19" s="239" t="s">
        <v>725</v>
      </c>
      <c r="B19" s="241">
        <f>SUM(B17:B18)</f>
        <v>2036257.59</v>
      </c>
    </row>
    <row r="21" spans="1:6" ht="18.75" thickBot="1" x14ac:dyDescent="0.3">
      <c r="A21" s="239" t="s">
        <v>1556</v>
      </c>
    </row>
    <row r="22" spans="1:6" ht="18.75" thickTop="1" x14ac:dyDescent="0.25">
      <c r="A22" s="239" t="s">
        <v>1557</v>
      </c>
      <c r="B22" s="245">
        <f>B14-B19</f>
        <v>-583.82999999984168</v>
      </c>
      <c r="F22" s="237" t="s">
        <v>1569</v>
      </c>
    </row>
    <row r="26" spans="1:6" ht="18" x14ac:dyDescent="0.25">
      <c r="A26" s="239" t="s">
        <v>186</v>
      </c>
    </row>
    <row r="27" spans="1:6" ht="15" x14ac:dyDescent="0.2">
      <c r="A27" s="237" t="s">
        <v>1558</v>
      </c>
      <c r="B27" s="240">
        <f>'DOE25'!G180</f>
        <v>188051</v>
      </c>
      <c r="F27" s="237" t="s">
        <v>1570</v>
      </c>
    </row>
    <row r="28" spans="1:6" ht="15" x14ac:dyDescent="0.2">
      <c r="A28" s="237" t="s">
        <v>1560</v>
      </c>
      <c r="B28" s="240">
        <f>'DOE25'!L362</f>
        <v>0</v>
      </c>
      <c r="F28" s="237" t="s">
        <v>1571</v>
      </c>
    </row>
    <row r="31" spans="1:6" ht="15" x14ac:dyDescent="0.2">
      <c r="A31" s="237" t="s">
        <v>1789</v>
      </c>
      <c r="B31" s="240">
        <f>'DOE25'!G466</f>
        <v>304756.38</v>
      </c>
      <c r="F31" s="237" t="s">
        <v>1572</v>
      </c>
    </row>
    <row r="33" spans="1:6" ht="15" x14ac:dyDescent="0.2">
      <c r="A33" s="237" t="s">
        <v>1790</v>
      </c>
      <c r="B33" s="240">
        <f>'DOE25'!G477</f>
        <v>304756.37000000011</v>
      </c>
      <c r="F33" s="237" t="s">
        <v>1573</v>
      </c>
    </row>
    <row r="36" spans="1:6" ht="15" x14ac:dyDescent="0.2">
      <c r="A36" s="237" t="s">
        <v>1559</v>
      </c>
      <c r="B36" s="251">
        <v>155899.57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Rochester</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16865115.940000001</v>
      </c>
      <c r="C9" s="166">
        <f>'DOE25'!G198+'DOE25'!G216+'DOE25'!G234+'DOE25'!G277+'DOE25'!G296+'DOE25'!G315</f>
        <v>7439436.29</v>
      </c>
    </row>
    <row r="10" spans="1:3" x14ac:dyDescent="0.2">
      <c r="A10" t="s">
        <v>772</v>
      </c>
      <c r="B10" s="176">
        <f>301740.4+7000518.94+3061783+4687122.03+145258.41+786664.05+2254.5+4644</f>
        <v>15989985.330000002</v>
      </c>
      <c r="C10" s="176">
        <f>128679.72+3504583.91+1300593.74+2156293.59+44904.9+302503.43+615.24+1261.77-0.01</f>
        <v>7439436.29</v>
      </c>
    </row>
    <row r="11" spans="1:3" x14ac:dyDescent="0.2">
      <c r="A11" t="s">
        <v>773</v>
      </c>
      <c r="B11" s="176">
        <f>501805.62+12378.72+94970.72+2593.13+29882.86</f>
        <v>641631.04999999993</v>
      </c>
      <c r="C11" s="176"/>
    </row>
    <row r="12" spans="1:3" x14ac:dyDescent="0.2">
      <c r="A12" t="s">
        <v>774</v>
      </c>
      <c r="B12" s="176">
        <f>69074.62+7042.29+157382.65</f>
        <v>233499.56</v>
      </c>
      <c r="C12" s="176"/>
    </row>
    <row r="13" spans="1:3" x14ac:dyDescent="0.2">
      <c r="A13" t="str">
        <f>IF(B9=B13,IF(C9=C13,"Check Total OK","Check Total Error"),"Check Total Error")</f>
        <v>Check Total OK</v>
      </c>
      <c r="B13" s="168">
        <f>SUM(B10:B12)</f>
        <v>16865115.940000001</v>
      </c>
      <c r="C13" s="168">
        <f>SUM(C10:C12)</f>
        <v>7439436.29</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7324082.5900000008</v>
      </c>
      <c r="C18" s="166">
        <f>'DOE25'!G199+'DOE25'!G217+'DOE25'!G235+'DOE25'!G278+'DOE25'!G297+'DOE25'!G316</f>
        <v>2946327.9699999997</v>
      </c>
    </row>
    <row r="19" spans="1:3" x14ac:dyDescent="0.2">
      <c r="A19" t="s">
        <v>772</v>
      </c>
      <c r="B19" s="176">
        <f>179876.59+3505905.15+563657.63+404698+505392.47</f>
        <v>5159529.84</v>
      </c>
      <c r="C19" s="176">
        <f>2688637.04+257690.93</f>
        <v>2946327.97</v>
      </c>
    </row>
    <row r="20" spans="1:3" x14ac:dyDescent="0.2">
      <c r="A20" t="s">
        <v>773</v>
      </c>
      <c r="B20" s="176">
        <f>34741.07+1399862.8+166970.47+357636.21</f>
        <v>1959210.55</v>
      </c>
      <c r="C20" s="176"/>
    </row>
    <row r="21" spans="1:3" x14ac:dyDescent="0.2">
      <c r="A21" t="s">
        <v>774</v>
      </c>
      <c r="B21" s="176">
        <f>316.4+7942.72+45574.03+32245.65+957.27+84399.98+10612.41+23293.74</f>
        <v>205342.19999999998</v>
      </c>
      <c r="C21" s="176"/>
    </row>
    <row r="22" spans="1:3" x14ac:dyDescent="0.2">
      <c r="A22" t="str">
        <f>IF(B18=B22,IF(C18=C22,"Check Total OK","Check Total Error"),"Check Total Error")</f>
        <v>Check Total OK</v>
      </c>
      <c r="B22" s="168">
        <f>SUM(B19:B21)</f>
        <v>7324082.5899999999</v>
      </c>
      <c r="C22" s="168">
        <f>SUM(C19:C21)</f>
        <v>2946327.97</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1183447.48</v>
      </c>
      <c r="C27" s="171">
        <f>'DOE25'!G200+'DOE25'!G218+'DOE25'!G236+'DOE25'!G279+'DOE25'!G298+'DOE25'!G317</f>
        <v>517768.94</v>
      </c>
    </row>
    <row r="28" spans="1:3" x14ac:dyDescent="0.2">
      <c r="A28" t="s">
        <v>772</v>
      </c>
      <c r="B28" s="176">
        <f>1140852.13+4000</f>
        <v>1144852.1299999999</v>
      </c>
      <c r="C28" s="176">
        <f>516741.35+1027.59</f>
        <v>517768.94</v>
      </c>
    </row>
    <row r="29" spans="1:3" x14ac:dyDescent="0.2">
      <c r="A29" t="s">
        <v>773</v>
      </c>
      <c r="B29" s="176">
        <v>31185.35</v>
      </c>
      <c r="C29" s="176"/>
    </row>
    <row r="30" spans="1:3" x14ac:dyDescent="0.2">
      <c r="A30" t="s">
        <v>774</v>
      </c>
      <c r="B30" s="176">
        <v>7410</v>
      </c>
      <c r="C30" s="176"/>
    </row>
    <row r="31" spans="1:3" x14ac:dyDescent="0.2">
      <c r="A31" t="str">
        <f>IF(B27=B31,IF(C27=C31,"Check Total OK","Check Total Error"),"Check Total Error")</f>
        <v>Check Total OK</v>
      </c>
      <c r="B31" s="168">
        <f>SUM(B28:B30)</f>
        <v>1183447.48</v>
      </c>
      <c r="C31" s="168">
        <f>SUM(C28:C30)</f>
        <v>517768.94</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402977.13</v>
      </c>
      <c r="C36" s="172">
        <f>'DOE25'!G201+'DOE25'!G219+'DOE25'!G237+'DOE25'!G280+'DOE25'!G299+'DOE25'!G318</f>
        <v>110107.94000000002</v>
      </c>
    </row>
    <row r="37" spans="1:3" x14ac:dyDescent="0.2">
      <c r="A37" t="s">
        <v>772</v>
      </c>
      <c r="B37" s="176">
        <f>231221.89+2625+1225+7101.7+3334.5+21500</f>
        <v>267008.09000000003</v>
      </c>
      <c r="C37" s="176">
        <f>101746.92+8361.02</f>
        <v>110107.94</v>
      </c>
    </row>
    <row r="38" spans="1:3" x14ac:dyDescent="0.2">
      <c r="A38" t="s">
        <v>773</v>
      </c>
      <c r="B38" s="176">
        <f>1319.2</f>
        <v>1319.2</v>
      </c>
      <c r="C38" s="176"/>
    </row>
    <row r="39" spans="1:3" x14ac:dyDescent="0.2">
      <c r="A39" t="s">
        <v>774</v>
      </c>
      <c r="B39" s="176">
        <f>104658.82+29991.02</f>
        <v>134649.84</v>
      </c>
      <c r="C39" s="176"/>
    </row>
    <row r="40" spans="1:3" x14ac:dyDescent="0.2">
      <c r="A40" t="str">
        <f>IF(B36=B40,IF(C36=C40,"Check Total OK","Check Total Error"),"Check Total Error")</f>
        <v>Check Total OK</v>
      </c>
      <c r="B40" s="168">
        <f>SUM(B37:B39)</f>
        <v>402977.13</v>
      </c>
      <c r="C40" s="168">
        <f>SUM(C37:C39)</f>
        <v>110107.94</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indexed="11"/>
    <pageSetUpPr fitToPage="1"/>
  </sheetPr>
  <dimension ref="A1:I54"/>
  <sheetViews>
    <sheetView zoomScaleNormal="100"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Rochester</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45215768.460000001</v>
      </c>
      <c r="D5" s="19">
        <f>SUM('DOE25'!L198:L201)+SUM('DOE25'!L216:L219)+SUM('DOE25'!L234:L237)-F5-G5-H5</f>
        <v>44874419.609999999</v>
      </c>
      <c r="E5" s="179"/>
      <c r="F5" s="180">
        <f>49303.3+35644-50000</f>
        <v>34947.300000000003</v>
      </c>
      <c r="G5" s="19">
        <f>SUM('DOE25'!J198:J201)+SUM('DOE25'!J216:J219)+SUM('DOE25'!J234:J237)</f>
        <v>221980.84999999998</v>
      </c>
      <c r="H5" s="19">
        <f>SUM('DOE25'!K198:K201)+SUM('DOE25'!K216:K219)+SUM('DOE25'!K234:K237)</f>
        <v>84420.7</v>
      </c>
      <c r="I5" s="191"/>
    </row>
    <row r="6" spans="1:9" x14ac:dyDescent="0.2">
      <c r="A6" s="31">
        <v>2100</v>
      </c>
      <c r="B6" t="s">
        <v>793</v>
      </c>
      <c r="C6" s="205">
        <f t="shared" si="0"/>
        <v>2888169.69</v>
      </c>
      <c r="D6" s="19">
        <f>'DOE25'!L203+'DOE25'!L221+'DOE25'!L239-F6-G6-H6</f>
        <v>1691432.17</v>
      </c>
      <c r="E6" s="179"/>
      <c r="F6" s="180">
        <f>1213962.52-25000</f>
        <v>1188962.52</v>
      </c>
      <c r="G6" s="19">
        <f>'DOE25'!J203+'DOE25'!J221+'DOE25'!J239</f>
        <v>7750</v>
      </c>
      <c r="H6" s="19">
        <f>'DOE25'!K203+'DOE25'!K221+'DOE25'!K239</f>
        <v>25</v>
      </c>
      <c r="I6" s="191"/>
    </row>
    <row r="7" spans="1:9" x14ac:dyDescent="0.2">
      <c r="A7" s="31">
        <v>2200</v>
      </c>
      <c r="B7" t="s">
        <v>817</v>
      </c>
      <c r="C7" s="205">
        <f t="shared" si="0"/>
        <v>2031515.9200000002</v>
      </c>
      <c r="D7" s="19">
        <f>'DOE25'!L204+'DOE25'!L222+'DOE25'!L240-F7-G7-H7</f>
        <v>1900113.49</v>
      </c>
      <c r="E7" s="179"/>
      <c r="F7" s="180">
        <f>88708-25000</f>
        <v>63708</v>
      </c>
      <c r="G7" s="19">
        <f>'DOE25'!J204+'DOE25'!J222+'DOE25'!J240</f>
        <v>66259.61</v>
      </c>
      <c r="H7" s="19">
        <f>'DOE25'!K204+'DOE25'!K222+'DOE25'!K240</f>
        <v>1434.8200000000002</v>
      </c>
      <c r="I7" s="191"/>
    </row>
    <row r="8" spans="1:9" x14ac:dyDescent="0.2">
      <c r="A8" s="31">
        <v>2300</v>
      </c>
      <c r="B8" t="s">
        <v>794</v>
      </c>
      <c r="C8" s="205">
        <f t="shared" si="0"/>
        <v>2353667.4500000007</v>
      </c>
      <c r="D8" s="179"/>
      <c r="E8" s="19">
        <f>'DOE25'!L205+'DOE25'!L223+'DOE25'!L241-F8-G8-H8-D9-D11</f>
        <v>2278844.5900000008</v>
      </c>
      <c r="F8" s="180"/>
      <c r="G8" s="19">
        <f>'DOE25'!J205+'DOE25'!J223+'DOE25'!J241</f>
        <v>0</v>
      </c>
      <c r="H8" s="19">
        <f>'DOE25'!K205+'DOE25'!K223+'DOE25'!K241</f>
        <v>74822.86</v>
      </c>
      <c r="I8" s="191"/>
    </row>
    <row r="9" spans="1:9" ht="14.25" x14ac:dyDescent="0.2">
      <c r="A9" s="31">
        <v>2310</v>
      </c>
      <c r="B9" s="71" t="s">
        <v>884</v>
      </c>
      <c r="C9" s="205">
        <f t="shared" si="0"/>
        <v>80302.170000000013</v>
      </c>
      <c r="D9" s="180">
        <f>163987.29-83685.12</f>
        <v>80302.170000000013</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578481.36999999988</v>
      </c>
      <c r="D11" s="180">
        <f>522866.82+47130.76+3112.69+5371.1</f>
        <v>578481.36999999988</v>
      </c>
      <c r="E11" s="179"/>
      <c r="F11" s="179"/>
      <c r="G11" s="179"/>
      <c r="H11" s="179"/>
      <c r="I11" s="191"/>
    </row>
    <row r="12" spans="1:9" x14ac:dyDescent="0.2">
      <c r="A12" s="31">
        <v>2400</v>
      </c>
      <c r="B12" t="s">
        <v>711</v>
      </c>
      <c r="C12" s="205">
        <f t="shared" si="0"/>
        <v>3783985.4800000004</v>
      </c>
      <c r="D12" s="19">
        <f>'DOE25'!L206+'DOE25'!L224+'DOE25'!L242-F12-G12-H12</f>
        <v>3755541.1100000003</v>
      </c>
      <c r="E12" s="179"/>
      <c r="F12" s="180"/>
      <c r="G12" s="19">
        <f>'DOE25'!J206+'DOE25'!J224+'DOE25'!J242</f>
        <v>18447.37</v>
      </c>
      <c r="H12" s="19">
        <f>'DOE25'!K206+'DOE25'!K224+'DOE25'!K242</f>
        <v>9997</v>
      </c>
      <c r="I12" s="191"/>
    </row>
    <row r="13" spans="1:9" x14ac:dyDescent="0.2">
      <c r="A13" s="31">
        <v>2500</v>
      </c>
      <c r="B13" t="s">
        <v>795</v>
      </c>
      <c r="C13" s="205">
        <f t="shared" si="0"/>
        <v>631731.39999999991</v>
      </c>
      <c r="D13" s="179"/>
      <c r="E13" s="19">
        <f>'DOE25'!L207+'DOE25'!L225+'DOE25'!L243-F13-G13-H13</f>
        <v>580958.86999999988</v>
      </c>
      <c r="F13" s="180">
        <f>65698.12+34914.41-50000</f>
        <v>50612.53</v>
      </c>
      <c r="G13" s="19">
        <f>'DOE25'!J207+'DOE25'!J225+'DOE25'!J243</f>
        <v>0</v>
      </c>
      <c r="H13" s="19">
        <f>'DOE25'!K207+'DOE25'!K225+'DOE25'!K243</f>
        <v>160</v>
      </c>
      <c r="I13" s="191"/>
    </row>
    <row r="14" spans="1:9" x14ac:dyDescent="0.2">
      <c r="A14" s="31">
        <v>2600</v>
      </c>
      <c r="B14" t="s">
        <v>815</v>
      </c>
      <c r="C14" s="205">
        <f t="shared" si="0"/>
        <v>6345232.3399999999</v>
      </c>
      <c r="D14" s="19">
        <f>'DOE25'!L208+'DOE25'!L226+'DOE25'!L244-F14-G14-H14</f>
        <v>6157506.9100000001</v>
      </c>
      <c r="E14" s="179"/>
      <c r="F14" s="180"/>
      <c r="G14" s="19">
        <f>'DOE25'!J208+'DOE25'!J226+'DOE25'!J244</f>
        <v>185359.72</v>
      </c>
      <c r="H14" s="19">
        <f>'DOE25'!K208+'DOE25'!K226+'DOE25'!K244</f>
        <v>2365.71</v>
      </c>
      <c r="I14" s="191"/>
    </row>
    <row r="15" spans="1:9" x14ac:dyDescent="0.2">
      <c r="A15" s="31">
        <v>2700</v>
      </c>
      <c r="B15" t="s">
        <v>796</v>
      </c>
      <c r="C15" s="205">
        <f t="shared" si="0"/>
        <v>3680185.31</v>
      </c>
      <c r="D15" s="19">
        <f>'DOE25'!L209+'DOE25'!L227+'DOE25'!L245-F15-G15-H15</f>
        <v>378227.4700000002</v>
      </c>
      <c r="E15" s="179"/>
      <c r="F15" s="180">
        <f>1191841.2+261214.73+1923901.91-75000</f>
        <v>3301957.84</v>
      </c>
      <c r="G15" s="19">
        <f>'DOE25'!J209+'DOE25'!J227+'DOE25'!J245</f>
        <v>0</v>
      </c>
      <c r="H15" s="19">
        <f>'DOE25'!K209+'DOE25'!K227+'DOE25'!K245</f>
        <v>0</v>
      </c>
      <c r="I15" s="191"/>
    </row>
    <row r="16" spans="1:9" x14ac:dyDescent="0.2">
      <c r="A16" s="31">
        <v>2800</v>
      </c>
      <c r="B16" t="s">
        <v>797</v>
      </c>
      <c r="C16" s="205">
        <f t="shared" si="0"/>
        <v>88679</v>
      </c>
      <c r="D16" s="179"/>
      <c r="E16" s="19">
        <f>'DOE25'!L210+'DOE25'!L228+'DOE25'!L246-F16-G16-H16</f>
        <v>88679</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1817134.8900000001</v>
      </c>
      <c r="D25" s="179"/>
      <c r="E25" s="179"/>
      <c r="F25" s="190"/>
      <c r="G25" s="179"/>
      <c r="H25" s="179"/>
      <c r="I25" s="189">
        <f>'DOE25'!L261+'DOE25'!L262+'DOE25'!L342+'DOE25'!L343</f>
        <v>1817134.8900000001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533678.47000000009</v>
      </c>
      <c r="D29" s="211">
        <f>'DOE25'!L359+'DOE25'!L360+'DOE25'!L361-'DOE25'!I368-F29-G29-H29-F39</f>
        <v>533678.47000000009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11260286.059999999</v>
      </c>
      <c r="D31" s="19">
        <f>'DOE25'!L291+'DOE25'!L310+'DOE25'!L329+'DOE25'!L334+'DOE25'!L335+'DOE25'!L336-F31-G31-H31</f>
        <v>10751239.149999999</v>
      </c>
      <c r="E31" s="179"/>
      <c r="F31" s="180"/>
      <c r="G31" s="19">
        <f>'DOE25'!J291+'DOE25'!J310+'DOE25'!J329+'DOE25'!J334+'DOE25'!J335+'DOE25'!J336</f>
        <v>216135.76</v>
      </c>
      <c r="H31" s="19">
        <f>'DOE25'!K291+'DOE25'!K310+'DOE25'!K329+'DOE25'!K334+'DOE25'!K335+'DOE25'!K336</f>
        <v>292911.15000000002</v>
      </c>
      <c r="I31" s="191"/>
    </row>
    <row r="32" spans="1:9" ht="12" thickBot="1" x14ac:dyDescent="0.25">
      <c r="C32" s="206"/>
      <c r="G32" s="187"/>
      <c r="H32" s="187"/>
      <c r="I32" s="193"/>
    </row>
    <row r="33" spans="1:9" ht="12" thickTop="1" x14ac:dyDescent="0.2">
      <c r="B33" t="s">
        <v>806</v>
      </c>
      <c r="D33" s="181">
        <f t="shared" ref="D33:I33" si="1">SUM(D5:D31)</f>
        <v>70700941.919999987</v>
      </c>
      <c r="E33" s="181">
        <f t="shared" si="1"/>
        <v>2948482.4600000009</v>
      </c>
      <c r="F33" s="181">
        <f t="shared" si="1"/>
        <v>4640188.1899999995</v>
      </c>
      <c r="G33" s="181">
        <f t="shared" si="1"/>
        <v>715933.30999999994</v>
      </c>
      <c r="H33" s="181">
        <f t="shared" si="1"/>
        <v>466137.24</v>
      </c>
      <c r="I33" s="181">
        <f t="shared" si="1"/>
        <v>1817134.8900000001</v>
      </c>
    </row>
    <row r="34" spans="1:9" ht="12" thickBot="1" x14ac:dyDescent="0.25"/>
    <row r="35" spans="1:9" ht="12" thickBot="1" x14ac:dyDescent="0.25">
      <c r="B35" s="187" t="s">
        <v>827</v>
      </c>
      <c r="D35" s="188">
        <f>E33</f>
        <v>2948482.4600000009</v>
      </c>
      <c r="E35" s="184"/>
      <c r="F35" s="294" t="s">
        <v>1596</v>
      </c>
      <c r="G35" s="295"/>
      <c r="H35" s="295"/>
      <c r="I35" s="296"/>
    </row>
    <row r="36" spans="1:9" ht="12" thickTop="1" x14ac:dyDescent="0.2">
      <c r="B36" t="s">
        <v>807</v>
      </c>
      <c r="D36" s="19">
        <f>D33</f>
        <v>70700941.919999987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719425.39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tabColor theme="9" tint="-0.249977111117893"/>
    <pageSetUpPr fitToPage="1"/>
  </sheetPr>
  <dimension ref="A1:V727"/>
  <sheetViews>
    <sheetView topLeftCell="H25" zoomScaleNormal="100" workbookViewId="0">
      <selection activeCell="W35" sqref="W3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Rochester</v>
      </c>
      <c r="B2">
        <f>'DOE25'!B2</f>
        <v>461</v>
      </c>
      <c r="J2" s="223" t="s">
        <v>1799</v>
      </c>
      <c r="K2" s="308">
        <f>SUM('DOE25'!L198:L201)+SUM('DOE25'!L277:L280)</f>
        <v>23805981.270000003</v>
      </c>
      <c r="L2" s="308">
        <f>'DOE25'!L203+'DOE25'!L282</f>
        <v>1357408.6</v>
      </c>
      <c r="M2" s="308">
        <f>'DOE25'!L204+'DOE25'!L283</f>
        <v>998694.48</v>
      </c>
      <c r="N2" s="308">
        <f>'DOE25'!L206+'DOE25'!L285</f>
        <v>1903845.21</v>
      </c>
      <c r="O2" s="316">
        <f>'Salaries-Benefits'!B10+'Salaries-Benefits'!B12+'Salaries-Benefits'!B19+'Salaries-Benefits'!B21+'Salaries-Benefits'!B28+'Salaries-Benefits'!B30+'Salaries-Benefits'!B37+'Salaries-Benefits'!B39</f>
        <v>23142276.990000002</v>
      </c>
      <c r="P2" s="316">
        <f>'Salaries-Benefits'!B11+'Salaries-Benefits'!B20+'Salaries-Benefits'!B29+'Salaries-Benefits'!B38</f>
        <v>2633346.1500000004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33889495.859999999</v>
      </c>
      <c r="G4" s="228">
        <f>'DOE25'!L212+'DOE25'!L291</f>
        <v>33889495.859999999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563300.24</v>
      </c>
      <c r="E5" s="219"/>
      <c r="F5" s="231">
        <f>D5+E5</f>
        <v>563300.24</v>
      </c>
      <c r="G5" s="222"/>
      <c r="H5" s="222"/>
      <c r="J5" s="71" t="s">
        <v>1840</v>
      </c>
      <c r="K5" s="20">
        <v>563300.24</v>
      </c>
      <c r="L5" s="20"/>
      <c r="M5" s="20"/>
      <c r="N5" s="20"/>
      <c r="O5" s="20"/>
      <c r="P5" s="20"/>
      <c r="Q5" s="20"/>
    </row>
    <row r="6" spans="1:22" x14ac:dyDescent="0.2">
      <c r="A6" t="str" cm="1">
        <f t="array" ref="A6">IFERROR(INDEX('School Tables'!$A$4:$G$365,'School Tables'!$J4,3),"")</f>
        <v>Chamberlain Street School</v>
      </c>
      <c r="B6" s="229">
        <f>IFERROR(VLOOKUP(A6,'School Tables'!$C$3:$D$365,2,FALSE),"")</f>
        <v>22695</v>
      </c>
      <c r="C6" s="222" t="str">
        <f>IFERROR(INDEX('School Tables'!$B$3:$B$365,MATCH('School Level Expenditures'!B6,'School Tables'!$D$3:$D$365,0)),"")</f>
        <v>Rochester</v>
      </c>
      <c r="D6" s="219">
        <f>4562927.23+1901648.23</f>
        <v>6464575.4600000009</v>
      </c>
      <c r="E6" s="219">
        <f>254404.24+525423.08</f>
        <v>779827.32</v>
      </c>
      <c r="F6" s="231">
        <f t="shared" ref="F6:F20" si="2">D6+E6</f>
        <v>7244402.7800000012</v>
      </c>
      <c r="G6" s="222"/>
      <c r="H6" s="222"/>
      <c r="J6" t="str">
        <f t="shared" ref="J6:J20" si="3">A6</f>
        <v>Chamberlain Street School</v>
      </c>
      <c r="K6" s="20">
        <v>5069228.7326430008</v>
      </c>
      <c r="L6" s="20">
        <v>296050.81566000002</v>
      </c>
      <c r="M6" s="307">
        <v>217815.26608799997</v>
      </c>
      <c r="N6" s="20">
        <v>415228.64030099998</v>
      </c>
      <c r="O6" s="20">
        <f>2568682.35+30664.21</f>
        <v>2599346.56</v>
      </c>
      <c r="P6" s="20">
        <v>425000.11135199998</v>
      </c>
      <c r="Q6" s="20">
        <v>28538.78</v>
      </c>
    </row>
    <row r="7" spans="1:22" x14ac:dyDescent="0.2">
      <c r="A7" t="str" cm="1">
        <f t="array" ref="A7">IFERROR(INDEX('School Tables'!$A$4:$G$365,'School Tables'!$J5,3),"")</f>
        <v>East Rochester School</v>
      </c>
      <c r="B7" s="229">
        <f>IFERROR(VLOOKUP(A7,'School Tables'!$C$3:$D$365,2,FALSE),"")</f>
        <v>22650</v>
      </c>
      <c r="C7" s="222" t="str">
        <f>IFERROR(INDEX('School Tables'!$B$3:$B$365,MATCH('School Level Expenditures'!B7,'School Tables'!$D$3:$D$365,0)),"")</f>
        <v>Rochester</v>
      </c>
      <c r="D7" s="219">
        <f>4188271.09+1411631.58</f>
        <v>5599902.6699999999</v>
      </c>
      <c r="E7" s="219">
        <f>92305.31+390032.08</f>
        <v>482337.39</v>
      </c>
      <c r="F7" s="231">
        <f t="shared" si="2"/>
        <v>6082240.0599999996</v>
      </c>
      <c r="G7" s="222"/>
      <c r="H7" s="222"/>
      <c r="J7" t="str">
        <f t="shared" si="3"/>
        <v>East Rochester School</v>
      </c>
      <c r="K7" s="20">
        <v>3762990.0587570006</v>
      </c>
      <c r="L7" s="20">
        <v>219764.45233999999</v>
      </c>
      <c r="M7" s="307">
        <v>161688.63631199999</v>
      </c>
      <c r="N7" s="20">
        <v>308232.53949899995</v>
      </c>
      <c r="O7" s="20">
        <f>1906784.38+22762.66</f>
        <v>1929547.0399999998</v>
      </c>
      <c r="P7" s="20">
        <v>315486.09824799997</v>
      </c>
      <c r="Q7" s="20">
        <v>19427.099999999999</v>
      </c>
    </row>
    <row r="8" spans="1:22" x14ac:dyDescent="0.2">
      <c r="A8" t="str" cm="1">
        <f t="array" ref="A8">IFERROR(INDEX('School Tables'!$A$4:$G$365,'School Tables'!$J6,3),"")</f>
        <v>Gonic School</v>
      </c>
      <c r="B8" s="229">
        <f>IFERROR(VLOOKUP(A8,'School Tables'!$C$3:$D$365,2,FALSE),"")</f>
        <v>22725</v>
      </c>
      <c r="C8" s="222" t="str">
        <f>IFERROR(INDEX('School Tables'!$B$3:$B$365,MATCH('School Level Expenditures'!B8,'School Tables'!$D$3:$D$365,0)),"")</f>
        <v>Rochester</v>
      </c>
      <c r="D8" s="219">
        <f>2415234.91+1137850.04</f>
        <v>3553084.95</v>
      </c>
      <c r="E8" s="219">
        <f>0+314386.57</f>
        <v>314386.57</v>
      </c>
      <c r="F8" s="231">
        <f t="shared" si="2"/>
        <v>3867471.52</v>
      </c>
      <c r="G8" s="222"/>
      <c r="H8" s="222"/>
      <c r="J8" t="str">
        <f t="shared" si="3"/>
        <v>Gonic School</v>
      </c>
      <c r="K8" s="20">
        <v>3033169.8744150009</v>
      </c>
      <c r="L8" s="20">
        <v>177141.82230000003</v>
      </c>
      <c r="M8" s="307">
        <v>130329.62964</v>
      </c>
      <c r="N8" s="20">
        <v>248451.79990499999</v>
      </c>
      <c r="O8" s="20">
        <f>1536969.49+18347.91</f>
        <v>1555317.4</v>
      </c>
      <c r="P8" s="20">
        <v>254298.55356</v>
      </c>
      <c r="Q8" s="20">
        <v>17012.57</v>
      </c>
    </row>
    <row r="9" spans="1:22" x14ac:dyDescent="0.2">
      <c r="A9" t="str" cm="1">
        <f t="array" ref="A9">IFERROR(INDEX('School Tables'!$A$4:$G$365,'School Tables'!$J7,3),"")</f>
        <v>Maple Street Magnet School</v>
      </c>
      <c r="B9" s="229">
        <f>IFERROR(VLOOKUP(A9,'School Tables'!$C$3:$D$365,2,FALSE),"")</f>
        <v>29080</v>
      </c>
      <c r="C9" s="222" t="str">
        <f>IFERROR(INDEX('School Tables'!$B$3:$B$365,MATCH('School Level Expenditures'!B9,'School Tables'!$D$3:$D$365,0)),"")</f>
        <v>Rochester</v>
      </c>
      <c r="D9" s="219">
        <f>1616347.67+605109.52</f>
        <v>2221457.19</v>
      </c>
      <c r="E9" s="219">
        <f>7517.25+167191.02</f>
        <v>174708.27</v>
      </c>
      <c r="F9" s="231">
        <f t="shared" si="2"/>
        <v>2396165.46</v>
      </c>
      <c r="G9" s="222"/>
      <c r="H9" s="222"/>
      <c r="J9" t="str">
        <f t="shared" si="3"/>
        <v>Maple Street Magnet School</v>
      </c>
      <c r="K9" s="20">
        <v>1613042.0634820005</v>
      </c>
      <c r="L9" s="20">
        <v>94204.156840000011</v>
      </c>
      <c r="M9" s="307">
        <v>69309.396911999997</v>
      </c>
      <c r="N9" s="20">
        <v>132126.85757399999</v>
      </c>
      <c r="O9" s="20">
        <f>817361.56+9757.43</f>
        <v>827118.99000000011</v>
      </c>
      <c r="P9" s="20">
        <v>135236.16564799999</v>
      </c>
      <c r="Q9" s="20">
        <v>10719.95</v>
      </c>
    </row>
    <row r="10" spans="1:22" x14ac:dyDescent="0.2">
      <c r="A10" t="str" cm="1">
        <f t="array" ref="A10">IFERROR(INDEX('School Tables'!$A$4:$G$365,'School Tables'!$J8,3),"")</f>
        <v>McClelland School</v>
      </c>
      <c r="B10" s="229">
        <f>IFERROR(VLOOKUP(A10,'School Tables'!$C$3:$D$365,2,FALSE),"")</f>
        <v>22665</v>
      </c>
      <c r="C10" s="222" t="str">
        <f>IFERROR(INDEX('School Tables'!$B$3:$B$365,MATCH('School Level Expenditures'!B10,'School Tables'!$D$3:$D$365,0)),"")</f>
        <v>Rochester</v>
      </c>
      <c r="D10" s="219">
        <f>3927013.08+1715058.26</f>
        <v>5642071.3399999999</v>
      </c>
      <c r="E10" s="219">
        <f>0+473868.5</f>
        <v>473868.5</v>
      </c>
      <c r="F10" s="231">
        <f t="shared" si="2"/>
        <v>6115939.8399999999</v>
      </c>
      <c r="G10" s="222"/>
      <c r="H10" s="222"/>
      <c r="J10" t="str">
        <f t="shared" si="3"/>
        <v>McClelland School</v>
      </c>
      <c r="K10" s="20">
        <v>4571835.3586010011</v>
      </c>
      <c r="L10" s="20">
        <v>267002.27162000001</v>
      </c>
      <c r="M10" s="20">
        <v>196443.20421600001</v>
      </c>
      <c r="N10" s="20">
        <v>374486.35280700005</v>
      </c>
      <c r="O10" s="20">
        <f>2316642.91+27655.43</f>
        <v>2344298.3400000003</v>
      </c>
      <c r="P10" s="20">
        <v>383299.04586399999</v>
      </c>
      <c r="Q10" s="20">
        <v>29243.33</v>
      </c>
    </row>
    <row r="11" spans="1:22" x14ac:dyDescent="0.2">
      <c r="A11" t="str" cm="1">
        <f t="array" ref="A11">IFERROR(INDEX('School Tables'!$A$4:$G$365,'School Tables'!$J9,3),"")</f>
        <v>Nancy Loud School</v>
      </c>
      <c r="B11" s="229">
        <f>IFERROR(VLOOKUP(A11,'School Tables'!$C$3:$D$365,2,FALSE),"")</f>
        <v>22660</v>
      </c>
      <c r="C11" s="222" t="str">
        <f>IFERROR(INDEX('School Tables'!$B$3:$B$365,MATCH('School Level Expenditures'!B11,'School Tables'!$D$3:$D$365,0)),"")</f>
        <v>Rochester</v>
      </c>
      <c r="D11" s="219">
        <v>261752.83</v>
      </c>
      <c r="E11" s="219">
        <v>9686.91</v>
      </c>
      <c r="F11" s="231">
        <f t="shared" si="2"/>
        <v>271439.74</v>
      </c>
      <c r="G11" s="222"/>
      <c r="H11" s="222"/>
      <c r="J11" t="str">
        <f t="shared" si="3"/>
        <v>Nancy Loud School</v>
      </c>
      <c r="K11" s="20">
        <v>0</v>
      </c>
      <c r="L11" s="20">
        <v>0</v>
      </c>
      <c r="M11" s="20">
        <v>0</v>
      </c>
      <c r="N11" s="20">
        <v>0</v>
      </c>
      <c r="O11" s="20">
        <v>0</v>
      </c>
      <c r="P11" s="20">
        <v>0</v>
      </c>
      <c r="Q11" s="20">
        <v>0</v>
      </c>
    </row>
    <row r="12" spans="1:22" x14ac:dyDescent="0.2">
      <c r="A12" t="str" cm="1">
        <f t="array" ref="A12">IFERROR(INDEX('School Tables'!$A$4:$G$365,'School Tables'!$J10,3),"")</f>
        <v>School Street School</v>
      </c>
      <c r="B12" s="229">
        <f>IFERROR(VLOOKUP(A12,'School Tables'!$C$3:$D$365,2,FALSE),"")</f>
        <v>22720</v>
      </c>
      <c r="C12" s="222" t="str">
        <f>IFERROR(INDEX('School Tables'!$B$3:$B$365,MATCH('School Level Expenditures'!B12,'School Tables'!$D$3:$D$365,0)),"")</f>
        <v>Rochester</v>
      </c>
      <c r="D12" s="219">
        <f>1086852.8+297323.27</f>
        <v>1384176.07</v>
      </c>
      <c r="E12" s="219">
        <f>90136.8+82150.05</f>
        <v>172286.85</v>
      </c>
      <c r="F12" s="231">
        <f t="shared" si="2"/>
        <v>1556462.9200000002</v>
      </c>
      <c r="G12" s="222"/>
      <c r="H12" s="222"/>
      <c r="J12" t="str">
        <f t="shared" si="3"/>
        <v>School Street School</v>
      </c>
      <c r="K12" s="20">
        <v>792575.42312300007</v>
      </c>
      <c r="L12" s="20">
        <v>46287.633260000002</v>
      </c>
      <c r="M12" s="20">
        <v>34055.481767999998</v>
      </c>
      <c r="N12" s="20">
        <v>64921.121660999997</v>
      </c>
      <c r="O12" s="20">
        <f>401614.25+4794.36</f>
        <v>406408.61</v>
      </c>
      <c r="P12" s="20">
        <v>66448.894071999996</v>
      </c>
      <c r="Q12" s="20">
        <v>5590.6</v>
      </c>
    </row>
    <row r="13" spans="1:22" x14ac:dyDescent="0.2">
      <c r="A13" t="str" cm="1">
        <f t="array" ref="A13">IFERROR(INDEX('School Tables'!$A$4:$G$365,'School Tables'!$J11,3),"")</f>
        <v>William Allen School</v>
      </c>
      <c r="B13" s="229">
        <f>IFERROR(VLOOKUP(A13,'School Tables'!$C$3:$D$365,2,FALSE),"")</f>
        <v>22690</v>
      </c>
      <c r="C13" s="222" t="str">
        <f>IFERROR(INDEX('School Tables'!$B$3:$B$365,MATCH('School Level Expenditures'!B13,'School Tables'!$D$3:$D$365,0)),"")</f>
        <v>Rochester</v>
      </c>
      <c r="D13" s="219">
        <f>3309944.5+1650536.49</f>
        <v>4960480.99</v>
      </c>
      <c r="E13" s="219">
        <f>375551.11+456041.21-0.01</f>
        <v>831592.31</v>
      </c>
      <c r="F13" s="231">
        <f t="shared" si="2"/>
        <v>5792073.3000000007</v>
      </c>
      <c r="G13" s="222"/>
      <c r="H13" s="222"/>
      <c r="J13" t="str">
        <f t="shared" si="3"/>
        <v>William Allen School</v>
      </c>
      <c r="K13" s="20">
        <v>4399839.5189790009</v>
      </c>
      <c r="L13" s="20">
        <v>256957.44798000003</v>
      </c>
      <c r="M13" s="20">
        <v>189052.86506399998</v>
      </c>
      <c r="N13" s="20">
        <v>360397.89825299999</v>
      </c>
      <c r="O13" s="20">
        <f>2229489.08+26615.03</f>
        <v>2256104.11</v>
      </c>
      <c r="P13" s="20">
        <v>368879.05125600001</v>
      </c>
      <c r="Q13" s="20">
        <v>28810.720000000001</v>
      </c>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30650801.740000002</v>
      </c>
      <c r="E21" s="261">
        <f>SUM(E5:E20)</f>
        <v>3238694.12</v>
      </c>
      <c r="F21" s="216"/>
      <c r="G21" s="216"/>
      <c r="H21" s="216"/>
      <c r="K21" s="262">
        <f t="shared" ref="K21:Q21" si="4">SUM(K5:K20)</f>
        <v>23805981.270000003</v>
      </c>
      <c r="L21" s="262">
        <f t="shared" si="4"/>
        <v>1357408.6</v>
      </c>
      <c r="M21" s="262">
        <f t="shared" si="4"/>
        <v>998694.48</v>
      </c>
      <c r="N21" s="262">
        <f t="shared" si="4"/>
        <v>1903845.21</v>
      </c>
      <c r="O21" s="262">
        <f t="shared" si="4"/>
        <v>11918141.049999999</v>
      </c>
      <c r="P21" s="262">
        <f t="shared" si="4"/>
        <v>1948647.92</v>
      </c>
      <c r="Q21" s="262">
        <f t="shared" si="4"/>
        <v>139343.04999999999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9338579.7200000007</v>
      </c>
      <c r="L23" s="19">
        <f>'DOE25'!L221+'DOE25'!L301</f>
        <v>691812.3</v>
      </c>
      <c r="M23" s="19">
        <f>'DOE25'!L222+'DOE25'!L302</f>
        <v>562608.04</v>
      </c>
      <c r="N23" s="19">
        <f>'DOE25'!L224+'DOE25'!L304</f>
        <v>679026.46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14484351.229999999</v>
      </c>
      <c r="G25" s="228">
        <f>'DOE25'!L230+'DOE25'!L310</f>
        <v>14484351.230000002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734844.68</v>
      </c>
      <c r="E26" s="219"/>
      <c r="F26" s="231">
        <f>D26+E26</f>
        <v>734844.68</v>
      </c>
      <c r="G26" s="222"/>
      <c r="H26" s="222"/>
      <c r="J26" s="71" t="s">
        <v>1840</v>
      </c>
      <c r="K26" s="315">
        <v>734844.68</v>
      </c>
      <c r="L26" s="315"/>
      <c r="M26" s="315"/>
      <c r="N26" s="315"/>
      <c r="O26" s="315"/>
      <c r="P26" s="315"/>
      <c r="Q26" s="315"/>
    </row>
    <row r="27" spans="1:17" x14ac:dyDescent="0.2">
      <c r="A27" t="str" cm="1">
        <f t="array" ref="A27">IFERROR(INDEX('School Tables'!$L$4:$R$100,'School Tables'!$U4,3),"")</f>
        <v>Rochester Middle School</v>
      </c>
      <c r="B27" s="229">
        <f>IFERROR(VLOOKUP(A27,'School Tables'!$N$4:$O$100,2,FALSE),"")</f>
        <v>22705</v>
      </c>
      <c r="C27" s="222" t="str">
        <f>IFERROR(INDEX('School Tables'!$M$4:$M$100,MATCH('School Level Expenditures'!A27,'School Tables'!$N$4:$N$100,0)),"")</f>
        <v>Rochester</v>
      </c>
      <c r="D27" s="219">
        <f>11161913.12+1597096.03</f>
        <v>12759009.149999999</v>
      </c>
      <c r="E27" s="219">
        <f>42036.26+948461.14</f>
        <v>990497.4</v>
      </c>
      <c r="F27" s="231">
        <f t="shared" ref="F27:F33" si="6">D27+E27</f>
        <v>13749506.549999999</v>
      </c>
      <c r="G27" s="222"/>
      <c r="H27" s="222"/>
      <c r="J27" t="str">
        <f t="shared" ref="J27:J33" si="7">A27</f>
        <v>Rochester Middle School</v>
      </c>
      <c r="K27" s="20">
        <v>8603735.0399999991</v>
      </c>
      <c r="L27" s="20">
        <v>691812.3</v>
      </c>
      <c r="M27" s="307">
        <v>562608.04</v>
      </c>
      <c r="N27" s="20">
        <v>679026.46</v>
      </c>
      <c r="O27" s="20">
        <f>3885402.74+85728.57</f>
        <v>3971131.31</v>
      </c>
      <c r="P27" s="20">
        <v>187043.76</v>
      </c>
      <c r="Q27" s="20">
        <v>51849.26</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13493853.829999998</v>
      </c>
      <c r="E34" s="261">
        <f>SUM(E26:E33)</f>
        <v>990497.4</v>
      </c>
      <c r="F34" s="216"/>
      <c r="G34" s="216"/>
      <c r="H34" s="216"/>
      <c r="K34" s="262">
        <f t="shared" ref="K34:Q34" si="8">SUM(K26:K33)</f>
        <v>9338579.7199999988</v>
      </c>
      <c r="L34" s="262">
        <f t="shared" si="8"/>
        <v>691812.3</v>
      </c>
      <c r="M34" s="262">
        <f t="shared" si="8"/>
        <v>562608.04</v>
      </c>
      <c r="N34" s="262">
        <f t="shared" si="8"/>
        <v>679026.46</v>
      </c>
      <c r="O34" s="262">
        <f t="shared" si="8"/>
        <v>3971131.31</v>
      </c>
      <c r="P34" s="262">
        <f t="shared" si="8"/>
        <v>187043.76</v>
      </c>
      <c r="Q34" s="262">
        <f t="shared" si="8"/>
        <v>51849.26</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16245145.079999998</v>
      </c>
      <c r="L36" s="19">
        <f>'DOE25'!L239+'DOE25'!L320</f>
        <v>1392591.39</v>
      </c>
      <c r="M36" s="19">
        <f>'DOE25'!L240+'DOE25'!L321</f>
        <v>851880.18</v>
      </c>
      <c r="N36" s="19">
        <f>'DOE25'!L242+'DOE25'!L323</f>
        <v>1203526.4100000001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30564157.560000002</v>
      </c>
      <c r="G38" s="228">
        <f>'DOE25'!L248+'DOE25'!L329</f>
        <v>30564157.560000002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1431491.19</v>
      </c>
      <c r="E39" s="219"/>
      <c r="F39" s="231">
        <f t="shared" ref="F39:F44" si="10">D39+E39</f>
        <v>1431491.19</v>
      </c>
      <c r="G39" s="222"/>
      <c r="H39" s="222"/>
      <c r="J39" s="71" t="s">
        <v>1840</v>
      </c>
      <c r="K39" s="315">
        <v>1431491.19</v>
      </c>
      <c r="L39" s="315"/>
      <c r="M39" s="315"/>
      <c r="N39" s="315"/>
      <c r="O39" s="315"/>
      <c r="P39" s="315"/>
      <c r="Q39" s="315"/>
    </row>
    <row r="40" spans="1:17" x14ac:dyDescent="0.2">
      <c r="A40" t="str" cm="1">
        <f t="array" ref="A40">IFERROR(INDEX('School Tables'!$W$4:$AC$120,'School Tables'!$AF4,3),"")</f>
        <v>Bud Carlson Academy</v>
      </c>
      <c r="B40" s="229">
        <f>IFERROR(VLOOKUP(A40,'School Tables'!$Y$4:$Z$120,2,FALSE),"")</f>
        <v>22675</v>
      </c>
      <c r="C40" s="222" t="str">
        <f>IFERROR(INDEX('School Tables'!$X$4:$X$120,MATCH('School Level Expenditures'!A40,'School Tables'!$Y$4:$Y$120,0)),"")</f>
        <v>Rochester</v>
      </c>
      <c r="D40" s="219">
        <f>683517.73+162510.52</f>
        <v>846028.25</v>
      </c>
      <c r="E40" s="219">
        <f>28034.83+98618.12</f>
        <v>126652.95</v>
      </c>
      <c r="F40" s="231">
        <f t="shared" si="10"/>
        <v>972681.2</v>
      </c>
      <c r="G40" s="222"/>
      <c r="H40" s="222"/>
      <c r="J40" t="str">
        <f>A40</f>
        <v>Bud Carlson Academy</v>
      </c>
      <c r="K40" s="20">
        <v>854747.83</v>
      </c>
      <c r="L40" s="20">
        <v>80352.523203000004</v>
      </c>
      <c r="M40" s="307">
        <v>49153.486385999997</v>
      </c>
      <c r="N40" s="20">
        <v>69443.473857000005</v>
      </c>
      <c r="O40" s="20">
        <f>398039.33+20459.04</f>
        <v>418498.37</v>
      </c>
      <c r="P40" s="20">
        <v>28714.662919000002</v>
      </c>
      <c r="Q40" s="20">
        <v>6181.62</v>
      </c>
    </row>
    <row r="41" spans="1:17" x14ac:dyDescent="0.2">
      <c r="A41" t="str" cm="1">
        <f t="array" ref="A41">IFERROR(INDEX('School Tables'!$W$4:$AC$120,'School Tables'!$AF5,3),"")</f>
        <v>Spaulding High School</v>
      </c>
      <c r="B41" s="229">
        <f>IFERROR(VLOOKUP(A41,'School Tables'!$Y$4:$Z$120,2,FALSE),"")</f>
        <v>22700</v>
      </c>
      <c r="C41" s="222" t="str">
        <f>IFERROR(INDEX('School Tables'!$X$4:$X$120,MATCH('School Level Expenditures'!A41,'School Tables'!$Y$4:$Y$120,0)),"")</f>
        <v>Rochester</v>
      </c>
      <c r="D41" s="219">
        <f>18775669.42+2653962.96-9600-51322.6-113166.19</f>
        <v>21255543.59</v>
      </c>
      <c r="E41" s="219">
        <f>5293906.87+1610534.71</f>
        <v>6904441.5800000001</v>
      </c>
      <c r="F41" s="231">
        <f t="shared" si="10"/>
        <v>28159985.170000002</v>
      </c>
      <c r="G41" s="222"/>
      <c r="H41" s="222"/>
      <c r="J41" t="str">
        <f>A41</f>
        <v>Spaulding High School</v>
      </c>
      <c r="K41" s="20">
        <v>13958906.060000001</v>
      </c>
      <c r="L41" s="20">
        <v>1312238.8667970002</v>
      </c>
      <c r="M41" s="20">
        <v>802726.69361399999</v>
      </c>
      <c r="N41" s="20">
        <v>1134082.9361430001</v>
      </c>
      <c r="O41" s="20">
        <f>6500389.29+334116.97</f>
        <v>6834506.2599999998</v>
      </c>
      <c r="P41" s="20">
        <v>468939.80708100006</v>
      </c>
      <c r="Q41" s="20">
        <v>103975.34</v>
      </c>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23533063.030000001</v>
      </c>
      <c r="E45" s="262">
        <f>SUM(E39:E44)</f>
        <v>7031094.5300000003</v>
      </c>
      <c r="K45" s="262">
        <f t="shared" ref="K45:Q45" si="11">SUM(K39:K44)</f>
        <v>16245145.08</v>
      </c>
      <c r="L45" s="262">
        <f t="shared" si="11"/>
        <v>1392591.3900000001</v>
      </c>
      <c r="M45" s="262">
        <f t="shared" si="11"/>
        <v>851880.17999999993</v>
      </c>
      <c r="N45" s="262">
        <f t="shared" si="11"/>
        <v>1203526.4100000001</v>
      </c>
      <c r="O45" s="262">
        <f t="shared" si="11"/>
        <v>7253004.6299999999</v>
      </c>
      <c r="P45" s="262">
        <f t="shared" si="11"/>
        <v>497654.47000000009</v>
      </c>
      <c r="Q45" s="262">
        <f t="shared" si="11"/>
        <v>110156.95999999999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25" right="0.25" top="0.75" bottom="0.75" header="0.3" footer="0.3"/>
  <pageSetup scale="67" orientation="portrait" r:id="rId1"/>
  <headerFooter>
    <oddFooter>&amp;L&amp;Z&amp;F</oddFooter>
  </headerFooter>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F172" sqref="F17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Rochester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34132177.240000002</v>
      </c>
      <c r="G8" s="73">
        <f>'DOE25'!J9</f>
        <v>0</v>
      </c>
      <c r="H8" s="13">
        <f>SUM(C8:G8)</f>
        <v>34132177.240000002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-154545.21</v>
      </c>
      <c r="F11" s="73">
        <f>'DOE25'!I12</f>
        <v>0</v>
      </c>
      <c r="G11" s="73">
        <f>'DOE25'!J12</f>
        <v>0</v>
      </c>
      <c r="H11" s="13">
        <f t="shared" si="0"/>
        <v>-154545.21</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211821.83000000002</v>
      </c>
      <c r="E13" s="73">
        <f>'DOE25'!H14</f>
        <v>1626344.82</v>
      </c>
      <c r="F13" s="73">
        <f>'DOE25'!I14</f>
        <v>0</v>
      </c>
      <c r="G13" s="73">
        <f>'DOE25'!J14</f>
        <v>0</v>
      </c>
      <c r="H13" s="13">
        <f t="shared" si="0"/>
        <v>1838166.6500000001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41049.08</v>
      </c>
      <c r="E15" s="73">
        <f>'DOE25'!H16</f>
        <v>0</v>
      </c>
      <c r="F15" s="73">
        <f>'DOE25'!I16</f>
        <v>0</v>
      </c>
      <c r="G15" s="23" t="s">
        <v>288</v>
      </c>
      <c r="H15" s="13">
        <f t="shared" si="0"/>
        <v>41049.08</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1400000</v>
      </c>
      <c r="D17" s="73">
        <f>'DOE25'!G18</f>
        <v>0</v>
      </c>
      <c r="E17" s="73">
        <f>'DOE25'!H18</f>
        <v>0</v>
      </c>
      <c r="F17" s="73">
        <f>'DOE25'!I18</f>
        <v>-1400000</v>
      </c>
      <c r="G17" s="73">
        <f>'DOE25'!J18</f>
        <v>0</v>
      </c>
      <c r="H17" s="13">
        <f t="shared" si="0"/>
        <v>0</v>
      </c>
      <c r="I17" s="90"/>
    </row>
    <row r="18" spans="1:9" ht="12" thickTop="1" x14ac:dyDescent="0.2">
      <c r="A18" s="35" t="s">
        <v>149</v>
      </c>
      <c r="B18" s="36"/>
      <c r="C18" s="38">
        <f>SUM(C8:C17)</f>
        <v>1400000</v>
      </c>
      <c r="D18" s="38">
        <f>SUM(D8:D17)</f>
        <v>252870.91000000003</v>
      </c>
      <c r="E18" s="38">
        <f>SUM(E8:E17)</f>
        <v>1471799.61</v>
      </c>
      <c r="F18" s="38">
        <f>SUM(F8:F17)</f>
        <v>32732177.240000002</v>
      </c>
      <c r="G18" s="38">
        <f>SUM(G8:G17)</f>
        <v>0</v>
      </c>
      <c r="H18" s="38">
        <f t="shared" si="0"/>
        <v>35856847.760000005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-118680.19999999998</v>
      </c>
      <c r="E21" s="73">
        <f>'DOE25'!H22</f>
        <v>-743795.17</v>
      </c>
      <c r="F21" s="73">
        <f>'DOE25'!I22</f>
        <v>0</v>
      </c>
      <c r="G21" s="73">
        <f>'DOE25'!J22</f>
        <v>0</v>
      </c>
      <c r="H21" s="13">
        <f t="shared" ref="H21:H31" si="1">SUM(C21:G21)</f>
        <v>-862475.37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49642.57</v>
      </c>
      <c r="E23" s="73">
        <f>'DOE25'!H24</f>
        <v>25598.75</v>
      </c>
      <c r="F23" s="73">
        <f>'DOE25'!I24</f>
        <v>0</v>
      </c>
      <c r="G23" s="73">
        <f>'DOE25'!J24</f>
        <v>0</v>
      </c>
      <c r="H23" s="13">
        <f t="shared" si="1"/>
        <v>75241.320000000007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17152.169999999998</v>
      </c>
      <c r="E29" s="73">
        <f>'DOE25'!H30</f>
        <v>2189996.0299999998</v>
      </c>
      <c r="F29" s="73">
        <f>'DOE25'!I30</f>
        <v>0</v>
      </c>
      <c r="G29" s="23" t="s">
        <v>288</v>
      </c>
      <c r="H29" s="13">
        <f t="shared" si="1"/>
        <v>2207148.1999999997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-51885.459999999977</v>
      </c>
      <c r="E31" s="38">
        <f>SUM(E21:E30)</f>
        <v>1471799.6099999999</v>
      </c>
      <c r="F31" s="38">
        <f>SUM(F21:F30)</f>
        <v>0</v>
      </c>
      <c r="G31" s="38">
        <f>SUM(G21:G30)</f>
        <v>0</v>
      </c>
      <c r="H31" s="38">
        <f t="shared" si="1"/>
        <v>1419914.15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12375.73</v>
      </c>
      <c r="E34" s="73">
        <f>'DOE25'!H35</f>
        <v>0</v>
      </c>
      <c r="F34" s="73">
        <f>'DOE25'!I35</f>
        <v>0</v>
      </c>
      <c r="G34" s="23" t="s">
        <v>288</v>
      </c>
      <c r="H34" s="13">
        <f t="shared" ref="H34:H51" si="2">SUM(C34:G34)</f>
        <v>12375.73</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32732177.240000002</v>
      </c>
      <c r="G44" s="73">
        <f>'DOE25'!J45</f>
        <v>0</v>
      </c>
      <c r="H44" s="13">
        <f t="shared" si="2"/>
        <v>32732177.240000002</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1400000</v>
      </c>
      <c r="D47" s="73">
        <f>'DOE25'!G48</f>
        <v>292380.64</v>
      </c>
      <c r="E47" s="73">
        <f>'DOE25'!H48</f>
        <v>0</v>
      </c>
      <c r="F47" s="73">
        <f>'DOE25'!I48</f>
        <v>0</v>
      </c>
      <c r="G47" s="73">
        <f>'DOE25'!J48</f>
        <v>0</v>
      </c>
      <c r="H47" s="13">
        <f t="shared" si="2"/>
        <v>1692380.6400000001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1400000</v>
      </c>
      <c r="D50" s="38">
        <f>SUM(D34:D49)</f>
        <v>304756.37</v>
      </c>
      <c r="E50" s="38">
        <f>SUM(E34:E49)</f>
        <v>0</v>
      </c>
      <c r="F50" s="38">
        <f>SUM(F34:F49)</f>
        <v>32732177.240000002</v>
      </c>
      <c r="G50" s="38">
        <f>SUM(G34:G49)</f>
        <v>0</v>
      </c>
      <c r="H50" s="38">
        <f t="shared" si="2"/>
        <v>34436933.609999999</v>
      </c>
      <c r="I50" s="90"/>
    </row>
    <row r="51" spans="1:9" ht="12" thickTop="1" x14ac:dyDescent="0.2">
      <c r="A51" s="35" t="s">
        <v>881</v>
      </c>
      <c r="B51" s="2"/>
      <c r="C51" s="38">
        <f>C50+C31</f>
        <v>1400000</v>
      </c>
      <c r="D51" s="38">
        <f>D50+D31</f>
        <v>252870.91000000003</v>
      </c>
      <c r="E51" s="38">
        <f>E50+E31</f>
        <v>1471799.6099999999</v>
      </c>
      <c r="F51" s="38">
        <f>F50+F31</f>
        <v>32732177.240000002</v>
      </c>
      <c r="G51" s="38">
        <f>G50+G31</f>
        <v>0</v>
      </c>
      <c r="H51" s="38">
        <f t="shared" si="2"/>
        <v>35856847.760000005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37071584</v>
      </c>
      <c r="D56" s="73">
        <f>'DOE25'!G60</f>
        <v>0</v>
      </c>
      <c r="E56" s="73">
        <f>'DOE25'!H60</f>
        <v>0</v>
      </c>
      <c r="F56" s="73">
        <f>'DOE25'!I60</f>
        <v>0</v>
      </c>
      <c r="G56" s="73">
        <f>'DOE25'!J60</f>
        <v>0</v>
      </c>
      <c r="H56" s="13">
        <f t="shared" ref="H56:H63" si="3">SUM(C56:G56)</f>
        <v>37071584</v>
      </c>
      <c r="I56"/>
    </row>
    <row r="57" spans="1:9" x14ac:dyDescent="0.2">
      <c r="A57" s="1" t="s">
        <v>164</v>
      </c>
      <c r="B57" s="6" t="s">
        <v>165</v>
      </c>
      <c r="C57" s="73">
        <f>'DOE25'!F79</f>
        <v>2820211.38</v>
      </c>
      <c r="D57" s="23" t="s">
        <v>288</v>
      </c>
      <c r="E57" s="73">
        <f>'DOE25'!H79</f>
        <v>0</v>
      </c>
      <c r="F57" s="23" t="s">
        <v>288</v>
      </c>
      <c r="G57" s="23" t="s">
        <v>288</v>
      </c>
      <c r="H57" s="13">
        <f t="shared" si="3"/>
        <v>2820211.38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764275.24</v>
      </c>
      <c r="E60" s="23" t="s">
        <v>288</v>
      </c>
      <c r="F60" s="23" t="s">
        <v>288</v>
      </c>
      <c r="G60" s="23" t="s">
        <v>288</v>
      </c>
      <c r="H60" s="13">
        <f t="shared" si="3"/>
        <v>764275.24</v>
      </c>
      <c r="I60"/>
    </row>
    <row r="61" spans="1:9" ht="12" thickBot="1" x14ac:dyDescent="0.25">
      <c r="A61" s="1" t="s">
        <v>172</v>
      </c>
      <c r="B61" s="22" t="s">
        <v>173</v>
      </c>
      <c r="C61" s="73">
        <f>SUM('DOE25'!F98:F110)</f>
        <v>1209524.82</v>
      </c>
      <c r="D61" s="73">
        <f>SUM('DOE25'!G98:G110)</f>
        <v>0</v>
      </c>
      <c r="E61" s="73">
        <f>SUM('DOE25'!H98:H110)</f>
        <v>1959335.42</v>
      </c>
      <c r="F61" s="73">
        <f>SUM('DOE25'!I98:I110)</f>
        <v>1311112.6100000031</v>
      </c>
      <c r="G61" s="73">
        <f>SUM('DOE25'!J98:J110)</f>
        <v>0</v>
      </c>
      <c r="H61" s="13">
        <f t="shared" si="3"/>
        <v>4479972.8500000034</v>
      </c>
      <c r="I61"/>
    </row>
    <row r="62" spans="1:9" ht="12.75" thickTop="1" thickBot="1" x14ac:dyDescent="0.25">
      <c r="A62" s="28" t="s">
        <v>174</v>
      </c>
      <c r="B62" s="6"/>
      <c r="C62" s="93">
        <f>SUM(C57:C61)</f>
        <v>4029736.2</v>
      </c>
      <c r="D62" s="93">
        <f>SUM(D57:D61)</f>
        <v>764275.24</v>
      </c>
      <c r="E62" s="93">
        <f>SUM(E57:E61)</f>
        <v>1959335.42</v>
      </c>
      <c r="F62" s="93">
        <f>SUM(F57:F61)</f>
        <v>1311112.6100000031</v>
      </c>
      <c r="G62" s="93">
        <f>SUM(G57:G61)</f>
        <v>0</v>
      </c>
      <c r="H62" s="13">
        <f t="shared" si="3"/>
        <v>8064459.4700000035</v>
      </c>
      <c r="I62"/>
    </row>
    <row r="63" spans="1:9" ht="12" thickTop="1" x14ac:dyDescent="0.2">
      <c r="A63" s="28" t="s">
        <v>175</v>
      </c>
      <c r="B63" s="6"/>
      <c r="C63" s="21">
        <f>C56+C62</f>
        <v>41101320.200000003</v>
      </c>
      <c r="D63" s="21">
        <f>D56+D62</f>
        <v>764275.24</v>
      </c>
      <c r="E63" s="21">
        <f>E56+E62</f>
        <v>1959335.42</v>
      </c>
      <c r="F63" s="21">
        <f>F56+F62</f>
        <v>1311112.6100000031</v>
      </c>
      <c r="G63" s="21">
        <f>G56+G62</f>
        <v>0</v>
      </c>
      <c r="H63" s="13">
        <f t="shared" si="3"/>
        <v>45136043.470000014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25014262.699999999</v>
      </c>
      <c r="D66" s="23" t="s">
        <v>288</v>
      </c>
      <c r="E66" s="23" t="s">
        <v>288</v>
      </c>
      <c r="F66" s="23" t="s">
        <v>288</v>
      </c>
      <c r="G66" s="23" t="s">
        <v>288</v>
      </c>
      <c r="H66" s="13">
        <f t="shared" ref="H66:H81" si="4">SUM(C66:G66)</f>
        <v>25014262.699999999</v>
      </c>
      <c r="I66"/>
    </row>
    <row r="67" spans="1:9" x14ac:dyDescent="0.2">
      <c r="A67" s="1" t="s">
        <v>767</v>
      </c>
      <c r="B67" s="6">
        <v>3112</v>
      </c>
      <c r="C67" s="73">
        <f>'DOE25'!F118</f>
        <v>5482601</v>
      </c>
      <c r="D67" s="23"/>
      <c r="E67" s="23"/>
      <c r="F67" s="23"/>
      <c r="G67" s="23"/>
      <c r="H67" s="13">
        <f t="shared" si="4"/>
        <v>5482601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45118.43</v>
      </c>
      <c r="D69" s="73">
        <f>'DOE25'!G120</f>
        <v>0</v>
      </c>
      <c r="E69" s="73">
        <f>'DOE25'!H120</f>
        <v>0</v>
      </c>
      <c r="F69" s="73">
        <f>'DOE25'!I120</f>
        <v>0</v>
      </c>
      <c r="G69" s="73">
        <f>'DOE25'!J120</f>
        <v>0</v>
      </c>
      <c r="H69" s="13">
        <f t="shared" si="4"/>
        <v>45118.43</v>
      </c>
      <c r="I69"/>
    </row>
    <row r="70" spans="1:9" ht="12" thickTop="1" x14ac:dyDescent="0.2">
      <c r="A70" s="28" t="s">
        <v>252</v>
      </c>
      <c r="B70" s="2"/>
      <c r="C70" s="97">
        <f>SUM(C66:C69)</f>
        <v>30541982.129999999</v>
      </c>
      <c r="D70" s="97">
        <f>D69</f>
        <v>0</v>
      </c>
      <c r="E70" s="97">
        <f>E69</f>
        <v>0</v>
      </c>
      <c r="F70" s="97">
        <f>F69</f>
        <v>0</v>
      </c>
      <c r="G70" s="97">
        <f>G69</f>
        <v>0</v>
      </c>
      <c r="H70" s="13">
        <f t="shared" si="4"/>
        <v>30541982.129999999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56326.74</v>
      </c>
      <c r="D72" s="23" t="s">
        <v>288</v>
      </c>
      <c r="E72" s="23" t="s">
        <v>288</v>
      </c>
      <c r="F72" s="73">
        <f>'DOE25'!I123</f>
        <v>12615664.32</v>
      </c>
      <c r="G72" s="23" t="s">
        <v>288</v>
      </c>
      <c r="H72" s="13">
        <f t="shared" si="4"/>
        <v>12671991.060000001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728755.18</v>
      </c>
      <c r="D75" s="23" t="s">
        <v>288</v>
      </c>
      <c r="E75" s="23" t="s">
        <v>288</v>
      </c>
      <c r="F75" s="23" t="s">
        <v>288</v>
      </c>
      <c r="G75" s="23" t="s">
        <v>288</v>
      </c>
      <c r="H75" s="13">
        <f t="shared" si="4"/>
        <v>728755.18</v>
      </c>
      <c r="I75"/>
    </row>
    <row r="76" spans="1:9" x14ac:dyDescent="0.2">
      <c r="A76" s="1" t="s">
        <v>257</v>
      </c>
      <c r="B76" s="6" t="s">
        <v>179</v>
      </c>
      <c r="C76" s="73">
        <f>SUM('DOE25'!F127:F130)</f>
        <v>97261.119999999995</v>
      </c>
      <c r="D76" s="23" t="s">
        <v>288</v>
      </c>
      <c r="E76" s="73">
        <f>SUM('DOE25'!H127:H130)</f>
        <v>0</v>
      </c>
      <c r="F76" s="73">
        <f>SUM('DOE25'!I127:I130)</f>
        <v>0</v>
      </c>
      <c r="G76" s="23" t="s">
        <v>288</v>
      </c>
      <c r="H76" s="13">
        <f t="shared" si="4"/>
        <v>97261.119999999995</v>
      </c>
      <c r="I76"/>
    </row>
    <row r="77" spans="1:9" ht="12" thickBot="1" x14ac:dyDescent="0.25">
      <c r="A77" s="1" t="s">
        <v>258</v>
      </c>
      <c r="B77" s="6" t="s">
        <v>180</v>
      </c>
      <c r="C77" s="73">
        <f>SUM('DOE25'!F131:F135)</f>
        <v>0</v>
      </c>
      <c r="D77" s="73">
        <f>SUM('DOE25'!G131:G135)</f>
        <v>89335.360000000001</v>
      </c>
      <c r="E77" s="73">
        <f>SUM('DOE25'!H131:H135)</f>
        <v>11845.95</v>
      </c>
      <c r="F77" s="73">
        <f>SUM('DOE25'!I131:I135)</f>
        <v>0</v>
      </c>
      <c r="G77" s="73">
        <f>SUM('DOE25'!J131:J135)</f>
        <v>0</v>
      </c>
      <c r="H77" s="13">
        <f t="shared" si="4"/>
        <v>101181.31</v>
      </c>
      <c r="I77"/>
    </row>
    <row r="78" spans="1:9" ht="12.75" thickTop="1" thickBot="1" x14ac:dyDescent="0.25">
      <c r="A78" s="28" t="s">
        <v>259</v>
      </c>
      <c r="B78" s="6"/>
      <c r="C78" s="93">
        <f>SUM(C72:C77)</f>
        <v>882343.04</v>
      </c>
      <c r="D78" s="93">
        <f>SUM(D72:D77)</f>
        <v>89335.360000000001</v>
      </c>
      <c r="E78" s="93">
        <f>SUM(E72:E77)</f>
        <v>11845.95</v>
      </c>
      <c r="F78" s="93">
        <f>SUM(F72:F77)</f>
        <v>12615664.32</v>
      </c>
      <c r="G78" s="93">
        <f>SUM(G72:G77)</f>
        <v>0</v>
      </c>
      <c r="H78" s="13">
        <f t="shared" si="4"/>
        <v>13599188.67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31424325.169999998</v>
      </c>
      <c r="D81" s="93">
        <f>SUM(D79:D80)+D78+D70</f>
        <v>89335.360000000001</v>
      </c>
      <c r="E81" s="93">
        <f>SUM(E79:E80)+E78+E70</f>
        <v>11845.95</v>
      </c>
      <c r="F81" s="93">
        <f>SUM(F79:F80)+F78+F70</f>
        <v>12615664.32</v>
      </c>
      <c r="G81" s="93">
        <f>SUM(G79:G80)+G78+G70</f>
        <v>0</v>
      </c>
      <c r="H81" s="93">
        <f t="shared" si="4"/>
        <v>44141170.799999997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86642.18</v>
      </c>
      <c r="D85" s="73">
        <f>'DOE25'!G147</f>
        <v>0</v>
      </c>
      <c r="E85" s="73">
        <f>'DOE25'!H147</f>
        <v>0</v>
      </c>
      <c r="F85" s="73">
        <f>'DOE25'!I147</f>
        <v>0</v>
      </c>
      <c r="G85" s="23" t="s">
        <v>288</v>
      </c>
      <c r="H85" s="13">
        <f t="shared" ref="H85:H104" si="5">SUM(C85:G85)</f>
        <v>86642.18</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596452.77</v>
      </c>
      <c r="D88" s="252">
        <f>SUM('DOE25'!G153:G162)</f>
        <v>1182063.1600000001</v>
      </c>
      <c r="E88" s="252">
        <f>SUM('DOE25'!H153:H162)</f>
        <v>9728764.4299999997</v>
      </c>
      <c r="F88" s="252">
        <f>SUM('DOE25'!I153:I162)</f>
        <v>0</v>
      </c>
      <c r="G88" s="23" t="s">
        <v>288</v>
      </c>
      <c r="H88" s="13">
        <f t="shared" si="5"/>
        <v>11507280.359999999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683094.95</v>
      </c>
      <c r="D91" s="94">
        <f>SUM(D85:D90)</f>
        <v>1182063.1600000001</v>
      </c>
      <c r="E91" s="94">
        <f>SUM(E85:E90)</f>
        <v>9728764.4299999997</v>
      </c>
      <c r="F91" s="94">
        <f>SUM(F85:F90)</f>
        <v>0</v>
      </c>
      <c r="G91" s="23" t="s">
        <v>288</v>
      </c>
      <c r="H91" s="13">
        <f t="shared" si="5"/>
        <v>11593922.539999999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18805400.309999999</v>
      </c>
      <c r="G93" s="23" t="s">
        <v>288</v>
      </c>
      <c r="H93" s="13">
        <f t="shared" si="5"/>
        <v>18805400.309999999</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188051</v>
      </c>
      <c r="E96" s="73">
        <f>'DOE25'!H180</f>
        <v>0</v>
      </c>
      <c r="F96" s="73">
        <f>'DOE25'!I180</f>
        <v>0</v>
      </c>
      <c r="G96" s="73">
        <f>'DOE25'!J180</f>
        <v>0</v>
      </c>
      <c r="H96" s="13">
        <f t="shared" si="5"/>
        <v>188051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188051</v>
      </c>
      <c r="E103" s="68">
        <f>SUM(E93:E102)</f>
        <v>0</v>
      </c>
      <c r="F103" s="68">
        <f>SUM(F93:F102)</f>
        <v>18805400.309999999</v>
      </c>
      <c r="G103" s="68">
        <f>SUM(G93:G102)</f>
        <v>0</v>
      </c>
      <c r="H103" s="68">
        <f t="shared" si="5"/>
        <v>18993451.309999999</v>
      </c>
    </row>
    <row r="104" spans="1:8" ht="12.75" thickTop="1" thickBot="1" x14ac:dyDescent="0.25">
      <c r="A104" s="32" t="s">
        <v>758</v>
      </c>
      <c r="C104" s="68">
        <f>C63+C81+C91+C103</f>
        <v>73208740.320000008</v>
      </c>
      <c r="D104" s="68">
        <f>D63+D81+D91+D103</f>
        <v>2223724.7600000002</v>
      </c>
      <c r="E104" s="68">
        <f>E63+E81+E91+E103</f>
        <v>11699945.799999999</v>
      </c>
      <c r="F104" s="68">
        <f>F63+F81+F91+F103</f>
        <v>32732177.240000002</v>
      </c>
      <c r="G104" s="68">
        <f>G63+G81+G103</f>
        <v>0</v>
      </c>
      <c r="H104" s="68">
        <f t="shared" si="5"/>
        <v>119864588.12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23864552.449999999</v>
      </c>
      <c r="D109" s="23" t="s">
        <v>288</v>
      </c>
      <c r="E109" s="73">
        <f>('DOE25'!L277)+('DOE25'!L296)+('DOE25'!L315)</f>
        <v>2716013.75</v>
      </c>
      <c r="F109" s="23" t="s">
        <v>288</v>
      </c>
      <c r="G109" s="23" t="s">
        <v>288</v>
      </c>
      <c r="H109" s="13">
        <f t="shared" ref="H109:H115" si="6">SUM(C109:G109)</f>
        <v>26580566.199999999</v>
      </c>
    </row>
    <row r="110" spans="1:8" x14ac:dyDescent="0.2">
      <c r="A110" t="s">
        <v>198</v>
      </c>
      <c r="B110" s="31" t="s">
        <v>199</v>
      </c>
      <c r="C110" s="73">
        <f>('DOE25'!L199)+('DOE25'!L217)+('DOE25'!L235)</f>
        <v>18847271.130000003</v>
      </c>
      <c r="D110" s="23" t="s">
        <v>288</v>
      </c>
      <c r="E110" s="73">
        <f>('DOE25'!L278)+('DOE25'!L297)+('DOE25'!L316)</f>
        <v>1206640.72</v>
      </c>
      <c r="F110" s="23" t="s">
        <v>288</v>
      </c>
      <c r="G110" s="23" t="s">
        <v>288</v>
      </c>
      <c r="H110" s="13">
        <f t="shared" si="6"/>
        <v>20053911.850000001</v>
      </c>
    </row>
    <row r="111" spans="1:8" x14ac:dyDescent="0.2">
      <c r="A111" t="s">
        <v>200</v>
      </c>
      <c r="B111" s="31" t="s">
        <v>165</v>
      </c>
      <c r="C111" s="73">
        <f>('DOE25'!L200)+('DOE25'!L218)+('DOE25'!L236)</f>
        <v>1879728.86</v>
      </c>
      <c r="D111" s="23" t="s">
        <v>288</v>
      </c>
      <c r="E111" s="73">
        <f>('DOE25'!L279)+('DOE25'!L298)+('DOE25'!L317)</f>
        <v>185971.75000000003</v>
      </c>
      <c r="F111" s="23" t="s">
        <v>288</v>
      </c>
      <c r="G111" s="23" t="s">
        <v>288</v>
      </c>
      <c r="H111" s="13">
        <f t="shared" si="6"/>
        <v>2065700.61</v>
      </c>
    </row>
    <row r="112" spans="1:8" x14ac:dyDescent="0.2">
      <c r="A112" t="s">
        <v>201</v>
      </c>
      <c r="B112" s="31" t="s">
        <v>167</v>
      </c>
      <c r="C112" s="73">
        <f>('DOE25'!L201)+('DOE25'!L219)+('DOE25'!L237)</f>
        <v>624216.02</v>
      </c>
      <c r="D112" s="23" t="s">
        <v>288</v>
      </c>
      <c r="E112" s="73">
        <f>+('DOE25'!L280)+('DOE25'!L299)+('DOE25'!L318)</f>
        <v>65311.39</v>
      </c>
      <c r="F112" s="23" t="s">
        <v>288</v>
      </c>
      <c r="G112" s="23" t="s">
        <v>288</v>
      </c>
      <c r="H112" s="13">
        <f t="shared" si="6"/>
        <v>689527.41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45215768.460000001</v>
      </c>
      <c r="D115" s="68">
        <f>SUM(D109:D114)</f>
        <v>0</v>
      </c>
      <c r="E115" s="68">
        <f>SUM(E109:E114)</f>
        <v>4173937.61</v>
      </c>
      <c r="F115" s="68">
        <f>SUM(F109:F114)</f>
        <v>0</v>
      </c>
      <c r="G115" s="68">
        <f>SUM(G109:G114)</f>
        <v>0</v>
      </c>
      <c r="H115" s="68">
        <f t="shared" si="6"/>
        <v>49389706.07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2888169.69</v>
      </c>
      <c r="D118" s="23" t="s">
        <v>288</v>
      </c>
      <c r="E118" s="73">
        <f>+('DOE25'!L282)+('DOE25'!L301)+('DOE25'!L320)</f>
        <v>553642.6</v>
      </c>
      <c r="F118" s="23" t="s">
        <v>288</v>
      </c>
      <c r="G118" s="23" t="s">
        <v>288</v>
      </c>
      <c r="H118" s="13">
        <f t="shared" ref="H118:H145" si="7">SUM(C118:G118)</f>
        <v>3441812.29</v>
      </c>
    </row>
    <row r="119" spans="1:8" x14ac:dyDescent="0.2">
      <c r="A119" t="s">
        <v>208</v>
      </c>
      <c r="B119" s="31" t="s">
        <v>209</v>
      </c>
      <c r="C119" s="73">
        <f>('DOE25'!L204)+('DOE25'!L222)+('DOE25'!L240)</f>
        <v>2031515.9200000002</v>
      </c>
      <c r="D119" s="23" t="s">
        <v>288</v>
      </c>
      <c r="E119" s="73">
        <f>+('DOE25'!L283)+('DOE25'!L302)+('DOE25'!L321)</f>
        <v>381666.77999999997</v>
      </c>
      <c r="F119" s="23" t="s">
        <v>288</v>
      </c>
      <c r="G119" s="23" t="s">
        <v>288</v>
      </c>
      <c r="H119" s="13">
        <f t="shared" si="7"/>
        <v>2413182.7000000002</v>
      </c>
    </row>
    <row r="120" spans="1:8" x14ac:dyDescent="0.2">
      <c r="A120" t="s">
        <v>210</v>
      </c>
      <c r="B120" s="31" t="s">
        <v>211</v>
      </c>
      <c r="C120" s="73">
        <f>('DOE25'!L205)+('DOE25'!L223)+('DOE25'!L241)</f>
        <v>3012450.99</v>
      </c>
      <c r="D120" s="23" t="s">
        <v>288</v>
      </c>
      <c r="E120" s="73">
        <f>+('DOE25'!L284)+('DOE25'!L303)+('DOE25'!L322)</f>
        <v>6832.57</v>
      </c>
      <c r="F120" s="23" t="s">
        <v>288</v>
      </c>
      <c r="G120" s="23" t="s">
        <v>288</v>
      </c>
      <c r="H120" s="13">
        <f t="shared" si="7"/>
        <v>3019283.56</v>
      </c>
    </row>
    <row r="121" spans="1:8" x14ac:dyDescent="0.2">
      <c r="A121" t="s">
        <v>212</v>
      </c>
      <c r="B121" s="31" t="s">
        <v>213</v>
      </c>
      <c r="C121" s="73">
        <f>('DOE25'!L206)+('DOE25'!L224)+('DOE25'!L242)</f>
        <v>3783985.4800000004</v>
      </c>
      <c r="D121" s="23" t="s">
        <v>288</v>
      </c>
      <c r="E121" s="73">
        <f>+('DOE25'!L285)+('DOE25'!L304)+('DOE25'!L323)</f>
        <v>2412.6000000000004</v>
      </c>
      <c r="F121" s="23" t="s">
        <v>288</v>
      </c>
      <c r="G121" s="23" t="s">
        <v>288</v>
      </c>
      <c r="H121" s="13">
        <f t="shared" si="7"/>
        <v>3786398.0800000005</v>
      </c>
    </row>
    <row r="122" spans="1:8" x14ac:dyDescent="0.2">
      <c r="A122" t="s">
        <v>214</v>
      </c>
      <c r="B122" s="31" t="s">
        <v>215</v>
      </c>
      <c r="C122" s="73">
        <f>('DOE25'!L207)+('DOE25'!L225)+('DOE25'!L243)</f>
        <v>631731.39999999991</v>
      </c>
      <c r="D122" s="23" t="s">
        <v>288</v>
      </c>
      <c r="E122" s="73">
        <f>+('DOE25'!L286)+('DOE25'!L305)+('DOE25'!L324)</f>
        <v>233216.7</v>
      </c>
      <c r="F122" s="23" t="s">
        <v>288</v>
      </c>
      <c r="G122" s="23" t="s">
        <v>288</v>
      </c>
      <c r="H122" s="13">
        <f t="shared" si="7"/>
        <v>864948.09999999986</v>
      </c>
    </row>
    <row r="123" spans="1:8" x14ac:dyDescent="0.2">
      <c r="A123" t="s">
        <v>216</v>
      </c>
      <c r="B123" s="31" t="s">
        <v>217</v>
      </c>
      <c r="C123" s="73">
        <f>('DOE25'!L208)+('DOE25'!L226)+('DOE25'!L244)</f>
        <v>6345232.3399999999</v>
      </c>
      <c r="D123" s="23" t="s">
        <v>288</v>
      </c>
      <c r="E123" s="73">
        <f>+('DOE25'!L287)+('DOE25'!L306)+('DOE25'!L325)</f>
        <v>5531172.25</v>
      </c>
      <c r="F123" s="23" t="s">
        <v>288</v>
      </c>
      <c r="G123" s="23" t="s">
        <v>288</v>
      </c>
      <c r="H123" s="13">
        <f t="shared" si="7"/>
        <v>11876404.59</v>
      </c>
    </row>
    <row r="124" spans="1:8" x14ac:dyDescent="0.2">
      <c r="A124" t="s">
        <v>218</v>
      </c>
      <c r="B124" s="31" t="s">
        <v>219</v>
      </c>
      <c r="C124" s="73">
        <f>('DOE25'!L209)+('DOE25'!L227)+('DOE25'!L245+'DOE25'!L255)</f>
        <v>3680185.31</v>
      </c>
      <c r="D124" s="23" t="s">
        <v>288</v>
      </c>
      <c r="E124" s="73">
        <f>+('DOE25'!L288)+('DOE25'!L307)+('DOE25'!L326)</f>
        <v>355440.55</v>
      </c>
      <c r="F124" s="23" t="s">
        <v>288</v>
      </c>
      <c r="G124" s="23" t="s">
        <v>288</v>
      </c>
      <c r="H124" s="13">
        <f t="shared" si="7"/>
        <v>4035625.86</v>
      </c>
    </row>
    <row r="125" spans="1:8" x14ac:dyDescent="0.2">
      <c r="A125" t="s">
        <v>220</v>
      </c>
      <c r="B125" s="31" t="s">
        <v>221</v>
      </c>
      <c r="C125" s="73">
        <f>('DOE25'!L210)+('DOE25'!L228)+('DOE25'!L246)</f>
        <v>88679</v>
      </c>
      <c r="D125" s="23" t="s">
        <v>288</v>
      </c>
      <c r="E125" s="73">
        <f>+('DOE25'!L289)+('DOE25'!L308)+('DOE25'!L327)</f>
        <v>21964.399999999998</v>
      </c>
      <c r="F125" s="23" t="s">
        <v>288</v>
      </c>
      <c r="G125" s="23" t="s">
        <v>288</v>
      </c>
      <c r="H125" s="13">
        <f t="shared" si="7"/>
        <v>110643.4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2036257.59</v>
      </c>
      <c r="E127" s="23" t="s">
        <v>288</v>
      </c>
      <c r="F127" s="23" t="s">
        <v>288</v>
      </c>
      <c r="G127" s="23" t="s">
        <v>288</v>
      </c>
      <c r="H127" s="13">
        <f t="shared" si="7"/>
        <v>2036257.59</v>
      </c>
    </row>
    <row r="128" spans="1:8" ht="12.75" thickTop="1" thickBot="1" x14ac:dyDescent="0.25">
      <c r="A128" s="32" t="s">
        <v>226</v>
      </c>
      <c r="C128" s="68">
        <f>SUM(C118:C127)</f>
        <v>22461950.129999999</v>
      </c>
      <c r="D128" s="68">
        <f>SUM(D118:D127)</f>
        <v>2036257.59</v>
      </c>
      <c r="E128" s="68">
        <f>SUM(E118:E127)</f>
        <v>7086348.4500000002</v>
      </c>
      <c r="F128" s="68">
        <f>SUM(F118:F127)</f>
        <v>0</v>
      </c>
      <c r="G128" s="68">
        <f>SUM(G118:G127)</f>
        <v>0</v>
      </c>
      <c r="H128" s="68">
        <f t="shared" si="7"/>
        <v>31584556.169999998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1735147.45</v>
      </c>
      <c r="G130" s="23" t="s">
        <v>288</v>
      </c>
      <c r="H130" s="13">
        <f t="shared" si="7"/>
        <v>1735147.45</v>
      </c>
    </row>
    <row r="131" spans="1:8" x14ac:dyDescent="0.2">
      <c r="A131" t="s">
        <v>229</v>
      </c>
      <c r="B131" s="31">
        <v>5110</v>
      </c>
      <c r="C131" s="73">
        <f>'DOE25'!L261</f>
        <v>1363605.58</v>
      </c>
      <c r="D131" s="23" t="s">
        <v>288</v>
      </c>
      <c r="E131" s="92">
        <f>'DOE25'!L342</f>
        <v>0</v>
      </c>
      <c r="F131" s="23" t="s">
        <v>288</v>
      </c>
      <c r="G131" s="23" t="s">
        <v>288</v>
      </c>
      <c r="H131" s="13">
        <f t="shared" si="7"/>
        <v>1363605.58</v>
      </c>
    </row>
    <row r="132" spans="1:8" x14ac:dyDescent="0.2">
      <c r="A132" t="s">
        <v>230</v>
      </c>
      <c r="B132" s="31">
        <v>5120</v>
      </c>
      <c r="C132" s="73">
        <f>'DOE25'!L262</f>
        <v>453529.31</v>
      </c>
      <c r="D132" s="23" t="s">
        <v>288</v>
      </c>
      <c r="E132" s="92">
        <f>'DOE25'!L343</f>
        <v>0</v>
      </c>
      <c r="F132" s="23" t="s">
        <v>288</v>
      </c>
      <c r="G132" s="23" t="s">
        <v>288</v>
      </c>
      <c r="H132" s="13">
        <f t="shared" si="7"/>
        <v>453529.31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188051</v>
      </c>
      <c r="D135" s="23" t="s">
        <v>288</v>
      </c>
      <c r="E135" s="92">
        <f>'DOE25'!L346</f>
        <v>0</v>
      </c>
      <c r="F135" s="23" t="s">
        <v>288</v>
      </c>
      <c r="G135" s="23" t="s">
        <v>288</v>
      </c>
      <c r="H135" s="13">
        <f t="shared" si="7"/>
        <v>188051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2005185.8900000001</v>
      </c>
      <c r="D144" s="98">
        <f>SUM(D130:D143)</f>
        <v>0</v>
      </c>
      <c r="E144" s="98">
        <f>SUM(E130:E143)</f>
        <v>0</v>
      </c>
      <c r="F144" s="98">
        <f>SUM(F130:F143)</f>
        <v>1735147.45</v>
      </c>
      <c r="G144" s="98">
        <f>SUM(G130:G143)</f>
        <v>0</v>
      </c>
      <c r="H144" s="98">
        <f t="shared" si="7"/>
        <v>3740333.34</v>
      </c>
    </row>
    <row r="145" spans="1:9" ht="12.75" thickTop="1" thickBot="1" x14ac:dyDescent="0.25">
      <c r="A145" s="32" t="s">
        <v>244</v>
      </c>
      <c r="C145" s="68">
        <f>(C115+C128+C144)</f>
        <v>69682904.480000004</v>
      </c>
      <c r="D145" s="68">
        <f>(D115+D128+D144)</f>
        <v>2036257.59</v>
      </c>
      <c r="E145" s="68">
        <f>(E115+E128+E144)</f>
        <v>11260286.060000001</v>
      </c>
      <c r="F145" s="68">
        <f>(F115+F128+F144)</f>
        <v>1735147.45</v>
      </c>
      <c r="G145" s="68">
        <f>(G115+G128+G144)</f>
        <v>0</v>
      </c>
      <c r="H145" s="68">
        <f t="shared" si="7"/>
        <v>84714595.580000013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Varies</v>
      </c>
      <c r="C152" s="109">
        <f>'DOE25'!G492</f>
        <v>0</v>
      </c>
      <c r="D152" s="109">
        <f>'DOE25'!H492</f>
        <v>0</v>
      </c>
      <c r="E152" s="109">
        <f>'DOE25'!I492</f>
        <v>0</v>
      </c>
      <c r="F152" s="109">
        <f>'DOE25'!J492</f>
        <v>0</v>
      </c>
      <c r="G152" s="23" t="s">
        <v>288</v>
      </c>
    </row>
    <row r="153" spans="1:9" x14ac:dyDescent="0.2">
      <c r="A153" s="21" t="s">
        <v>29</v>
      </c>
      <c r="B153" s="109" t="str">
        <f>'DOE25'!F493</f>
        <v>Varies</v>
      </c>
      <c r="C153" s="109">
        <f>'DOE25'!G493</f>
        <v>0</v>
      </c>
      <c r="D153" s="109">
        <f>'DOE25'!H493</f>
        <v>0</v>
      </c>
      <c r="E153" s="109">
        <f>'DOE25'!I493</f>
        <v>0</v>
      </c>
      <c r="F153" s="109">
        <f>'DOE25'!J493</f>
        <v>0</v>
      </c>
      <c r="G153" s="23" t="s">
        <v>288</v>
      </c>
    </row>
    <row r="154" spans="1:9" x14ac:dyDescent="0.2">
      <c r="A154" s="21" t="s">
        <v>30</v>
      </c>
      <c r="B154" s="19">
        <f>'DOE25'!F494</f>
        <v>9338894.4299999997</v>
      </c>
      <c r="C154" s="19">
        <f>'DOE25'!G494</f>
        <v>0</v>
      </c>
      <c r="D154" s="19">
        <f>'DOE25'!H494</f>
        <v>0</v>
      </c>
      <c r="E154" s="19">
        <f>'DOE25'!I494</f>
        <v>0</v>
      </c>
      <c r="F154" s="19">
        <f>'DOE25'!J494</f>
        <v>0</v>
      </c>
      <c r="G154" s="23" t="s">
        <v>288</v>
      </c>
    </row>
    <row r="155" spans="1:9" x14ac:dyDescent="0.2">
      <c r="A155" s="21" t="s">
        <v>31</v>
      </c>
      <c r="B155" s="19" t="str">
        <f>'DOE25'!F495</f>
        <v>Varies</v>
      </c>
      <c r="C155" s="19">
        <f>'DOE25'!G495</f>
        <v>0</v>
      </c>
      <c r="D155" s="19">
        <f>'DOE25'!H495</f>
        <v>0</v>
      </c>
      <c r="E155" s="19">
        <f>'DOE25'!I495</f>
        <v>0</v>
      </c>
      <c r="F155" s="19">
        <f>'DOE25'!J495</f>
        <v>0</v>
      </c>
      <c r="G155" s="23" t="s">
        <v>288</v>
      </c>
    </row>
    <row r="156" spans="1:9" x14ac:dyDescent="0.2">
      <c r="A156" s="21" t="s">
        <v>32</v>
      </c>
      <c r="B156" s="19">
        <f>'DOE25'!F496</f>
        <v>13300762.41</v>
      </c>
      <c r="C156" s="19">
        <f>'DOE25'!G496</f>
        <v>0</v>
      </c>
      <c r="D156" s="19">
        <f>'DOE25'!H496</f>
        <v>0</v>
      </c>
      <c r="E156" s="19">
        <f>'DOE25'!I496</f>
        <v>0</v>
      </c>
      <c r="F156" s="19">
        <f>'DOE25'!J496</f>
        <v>0</v>
      </c>
      <c r="G156" s="96">
        <f>SUM(B156:F156)</f>
        <v>13300762.41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1363605.58</v>
      </c>
      <c r="C158" s="19">
        <f>'DOE25'!G498</f>
        <v>0</v>
      </c>
      <c r="D158" s="19">
        <f>'DOE25'!H498</f>
        <v>0</v>
      </c>
      <c r="E158" s="19">
        <f>'DOE25'!I498</f>
        <v>0</v>
      </c>
      <c r="F158" s="19">
        <f>'DOE25'!J498</f>
        <v>0</v>
      </c>
      <c r="G158" s="96">
        <f t="shared" si="8"/>
        <v>1363605.58</v>
      </c>
    </row>
    <row r="159" spans="1:9" x14ac:dyDescent="0.2">
      <c r="A159" s="21" t="s">
        <v>35</v>
      </c>
      <c r="B159" s="19">
        <f>'DOE25'!F499</f>
        <v>11937156.83</v>
      </c>
      <c r="C159" s="19">
        <f>'DOE25'!G499</f>
        <v>0</v>
      </c>
      <c r="D159" s="19">
        <f>'DOE25'!H499</f>
        <v>0</v>
      </c>
      <c r="E159" s="19">
        <f>'DOE25'!I499</f>
        <v>0</v>
      </c>
      <c r="F159" s="19">
        <f>'DOE25'!J499</f>
        <v>0</v>
      </c>
      <c r="G159" s="96">
        <f t="shared" si="8"/>
        <v>11937156.83</v>
      </c>
    </row>
    <row r="160" spans="1:9" x14ac:dyDescent="0.2">
      <c r="A160" s="21" t="s">
        <v>36</v>
      </c>
      <c r="B160" s="19">
        <f>'DOE25'!F500</f>
        <v>2189816</v>
      </c>
      <c r="C160" s="19">
        <f>'DOE25'!G500</f>
        <v>0</v>
      </c>
      <c r="D160" s="19">
        <f>'DOE25'!H500</f>
        <v>0</v>
      </c>
      <c r="E160" s="19">
        <f>'DOE25'!I500</f>
        <v>0</v>
      </c>
      <c r="F160" s="19">
        <f>'DOE25'!J500</f>
        <v>0</v>
      </c>
      <c r="G160" s="96">
        <f t="shared" si="8"/>
        <v>2189816</v>
      </c>
    </row>
    <row r="161" spans="1:7" x14ac:dyDescent="0.2">
      <c r="A161" s="21" t="s">
        <v>37</v>
      </c>
      <c r="B161" s="19">
        <f>'DOE25'!F501</f>
        <v>14126972.83</v>
      </c>
      <c r="C161" s="19">
        <f>'DOE25'!G501</f>
        <v>0</v>
      </c>
      <c r="D161" s="19">
        <f>'DOE25'!H501</f>
        <v>0</v>
      </c>
      <c r="E161" s="19">
        <f>'DOE25'!I501</f>
        <v>0</v>
      </c>
      <c r="F161" s="19">
        <f>'DOE25'!J501</f>
        <v>0</v>
      </c>
      <c r="G161" s="96">
        <f t="shared" si="8"/>
        <v>14126972.83</v>
      </c>
    </row>
    <row r="162" spans="1:7" x14ac:dyDescent="0.2">
      <c r="A162" s="21" t="s">
        <v>38</v>
      </c>
      <c r="B162" s="19">
        <f>'DOE25'!F502</f>
        <v>1362134.27</v>
      </c>
      <c r="C162" s="19">
        <f>'DOE25'!G502</f>
        <v>0</v>
      </c>
      <c r="D162" s="19">
        <f>'DOE25'!H502</f>
        <v>0</v>
      </c>
      <c r="E162" s="19">
        <f>'DOE25'!I502</f>
        <v>0</v>
      </c>
      <c r="F162" s="19">
        <f>'DOE25'!J502</f>
        <v>0</v>
      </c>
      <c r="G162" s="96">
        <f t="shared" si="8"/>
        <v>1362134.27</v>
      </c>
    </row>
    <row r="163" spans="1:7" x14ac:dyDescent="0.2">
      <c r="A163" s="21" t="s">
        <v>39</v>
      </c>
      <c r="B163" s="19">
        <f>'DOE25'!F503</f>
        <v>393779.72</v>
      </c>
      <c r="C163" s="19">
        <f>'DOE25'!G503</f>
        <v>0</v>
      </c>
      <c r="D163" s="19">
        <f>'DOE25'!H503</f>
        <v>0</v>
      </c>
      <c r="E163" s="19">
        <f>'DOE25'!I503</f>
        <v>0</v>
      </c>
      <c r="F163" s="19">
        <f>'DOE25'!J503</f>
        <v>0</v>
      </c>
      <c r="G163" s="96">
        <f t="shared" si="8"/>
        <v>393779.72</v>
      </c>
    </row>
    <row r="164" spans="1:7" x14ac:dyDescent="0.2">
      <c r="A164" s="21" t="s">
        <v>246</v>
      </c>
      <c r="B164" s="19">
        <f>'DOE25'!F504</f>
        <v>1755913.99</v>
      </c>
      <c r="C164" s="19">
        <f>'DOE25'!G504</f>
        <v>0</v>
      </c>
      <c r="D164" s="19">
        <f>'DOE25'!H504</f>
        <v>0</v>
      </c>
      <c r="E164" s="19">
        <f>'DOE25'!I504</f>
        <v>0</v>
      </c>
      <c r="F164" s="19">
        <f>'DOE25'!J504</f>
        <v>0</v>
      </c>
      <c r="G164" s="96">
        <f t="shared" si="8"/>
        <v>1755913.99</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Rochester</v>
      </c>
    </row>
    <row r="3" spans="1:4" x14ac:dyDescent="0.2">
      <c r="B3" s="136" t="s">
        <v>1792</v>
      </c>
    </row>
    <row r="4" spans="1:4" x14ac:dyDescent="0.2">
      <c r="B4" t="s">
        <v>61</v>
      </c>
      <c r="C4" s="128">
        <f>IF('DOE25'!F666+'DOE25'!F671=0,0,ROUND('DOE25'!F673,0))</f>
        <v>20495</v>
      </c>
    </row>
    <row r="5" spans="1:4" x14ac:dyDescent="0.2">
      <c r="B5" t="s">
        <v>700</v>
      </c>
      <c r="C5" s="128">
        <f>IF('DOE25'!G666+'DOE25'!G671=0,0,ROUND('DOE25'!G673,0))</f>
        <v>16783</v>
      </c>
    </row>
    <row r="6" spans="1:4" x14ac:dyDescent="0.2">
      <c r="B6" t="s">
        <v>62</v>
      </c>
      <c r="C6" s="128">
        <f>IF('DOE25'!H666+'DOE25'!H671=0,0,ROUND('DOE25'!H673,0))</f>
        <v>20104</v>
      </c>
    </row>
    <row r="7" spans="1:4" x14ac:dyDescent="0.2">
      <c r="B7" t="s">
        <v>701</v>
      </c>
      <c r="C7" s="128">
        <f>IF('DOE25'!I666+'DOE25'!I671=0,0,ROUND('DOE25'!I673,0))</f>
        <v>19582</v>
      </c>
    </row>
    <row r="9" spans="1:4" x14ac:dyDescent="0.2">
      <c r="A9" s="135" t="s">
        <v>94</v>
      </c>
      <c r="B9" s="136" t="s">
        <v>1793</v>
      </c>
      <c r="C9" s="130" t="s">
        <v>720</v>
      </c>
      <c r="D9" s="130" t="s">
        <v>721</v>
      </c>
    </row>
    <row r="10" spans="1:4" x14ac:dyDescent="0.2">
      <c r="A10">
        <v>1100</v>
      </c>
      <c r="B10" t="s">
        <v>702</v>
      </c>
      <c r="C10" s="128">
        <f>ROUND('DOE25'!L198+'DOE25'!L216+'DOE25'!L234+'DOE25'!L277+'DOE25'!L296+'DOE25'!L315,0)</f>
        <v>26580566</v>
      </c>
      <c r="D10" s="131">
        <f>ROUND((C10/$C$28)*100,1)</f>
        <v>33</v>
      </c>
    </row>
    <row r="11" spans="1:4" x14ac:dyDescent="0.2">
      <c r="A11">
        <v>1200</v>
      </c>
      <c r="B11" t="s">
        <v>703</v>
      </c>
      <c r="C11" s="128">
        <f>ROUND('DOE25'!L199+'DOE25'!L217+'DOE25'!L235+'DOE25'!L278+'DOE25'!L297+'DOE25'!L316,0)</f>
        <v>20053912</v>
      </c>
      <c r="D11" s="131">
        <f>ROUND((C11/$C$28)*100,1)</f>
        <v>24.9</v>
      </c>
    </row>
    <row r="12" spans="1:4" x14ac:dyDescent="0.2">
      <c r="A12">
        <v>1300</v>
      </c>
      <c r="B12" t="s">
        <v>704</v>
      </c>
      <c r="C12" s="128">
        <f>ROUND('DOE25'!L200+'DOE25'!L218+'DOE25'!L236+'DOE25'!L279+'DOE25'!L298+'DOE25'!L317,0)</f>
        <v>2065701</v>
      </c>
      <c r="D12" s="131">
        <f>ROUND((C12/$C$28)*100,1)</f>
        <v>2.6</v>
      </c>
    </row>
    <row r="13" spans="1:4" x14ac:dyDescent="0.2">
      <c r="A13">
        <v>1400</v>
      </c>
      <c r="B13" t="s">
        <v>705</v>
      </c>
      <c r="C13" s="128">
        <f>ROUND('DOE25'!L201+'DOE25'!L219+'DOE25'!L237+'DOE25'!L280+'DOE25'!L299+'DOE25'!L318,0)</f>
        <v>689527</v>
      </c>
      <c r="D13" s="131">
        <f>ROUND((C13/$C$28)*100,1)</f>
        <v>0.9</v>
      </c>
    </row>
    <row r="14" spans="1:4" x14ac:dyDescent="0.2">
      <c r="D14" s="131"/>
    </row>
    <row r="15" spans="1:4" x14ac:dyDescent="0.2">
      <c r="A15">
        <v>2100</v>
      </c>
      <c r="B15" t="s">
        <v>706</v>
      </c>
      <c r="C15" s="128">
        <f>ROUND('DOE25'!L203+'DOE25'!L221+'DOE25'!L239+'DOE25'!L282+'DOE25'!L301+'DOE25'!L320,0)</f>
        <v>3441812</v>
      </c>
      <c r="D15" s="131">
        <f t="shared" ref="D15:D27" si="0">ROUND((C15/$C$28)*100,1)</f>
        <v>4.3</v>
      </c>
    </row>
    <row r="16" spans="1:4" x14ac:dyDescent="0.2">
      <c r="A16">
        <v>2200</v>
      </c>
      <c r="B16" t="s">
        <v>707</v>
      </c>
      <c r="C16" s="128">
        <f>ROUND('DOE25'!L204+'DOE25'!L222+'DOE25'!L240+'DOE25'!L283+'DOE25'!L302+'DOE25'!L321,0)</f>
        <v>2413183</v>
      </c>
      <c r="D16" s="131">
        <f t="shared" si="0"/>
        <v>3</v>
      </c>
    </row>
    <row r="17" spans="1:4" x14ac:dyDescent="0.2">
      <c r="A17" s="132" t="s">
        <v>723</v>
      </c>
      <c r="B17" t="s">
        <v>738</v>
      </c>
      <c r="C17" s="128">
        <f>ROUND('DOE25'!L205+'DOE25'!L210+'DOE25'!L223+'DOE25'!L228+'DOE25'!L241+'DOE25'!L246+'DOE25'!L284+'DOE25'!L289+'DOE25'!L303+'DOE25'!L308+'DOE25'!L322+'DOE25'!L327,0)</f>
        <v>3129927</v>
      </c>
      <c r="D17" s="131">
        <f t="shared" si="0"/>
        <v>3.9</v>
      </c>
    </row>
    <row r="18" spans="1:4" x14ac:dyDescent="0.2">
      <c r="A18">
        <v>2400</v>
      </c>
      <c r="B18" t="s">
        <v>711</v>
      </c>
      <c r="C18" s="128">
        <f>ROUND('DOE25'!L206+'DOE25'!L224+'DOE25'!L242+'DOE25'!L285+'DOE25'!L304+'DOE25'!L323,0)</f>
        <v>3786398</v>
      </c>
      <c r="D18" s="131">
        <f t="shared" si="0"/>
        <v>4.7</v>
      </c>
    </row>
    <row r="19" spans="1:4" x14ac:dyDescent="0.2">
      <c r="A19">
        <v>2500</v>
      </c>
      <c r="B19" t="s">
        <v>708</v>
      </c>
      <c r="C19" s="128">
        <f>ROUND('DOE25'!L207+'DOE25'!L225+'DOE25'!L243+'DOE25'!L286+'DOE25'!L305+'DOE25'!L324,0)</f>
        <v>864948</v>
      </c>
      <c r="D19" s="131">
        <f t="shared" si="0"/>
        <v>1.1000000000000001</v>
      </c>
    </row>
    <row r="20" spans="1:4" x14ac:dyDescent="0.2">
      <c r="A20">
        <v>2600</v>
      </c>
      <c r="B20" t="s">
        <v>709</v>
      </c>
      <c r="C20" s="128">
        <f>ROUND('DOE25'!L208+'DOE25'!L226+'DOE25'!L244+'DOE25'!L287+'DOE25'!L306+'DOE25'!L325,0)</f>
        <v>11876405</v>
      </c>
      <c r="D20" s="131">
        <f t="shared" si="0"/>
        <v>14.7</v>
      </c>
    </row>
    <row r="21" spans="1:4" x14ac:dyDescent="0.2">
      <c r="A21">
        <v>2700</v>
      </c>
      <c r="B21" t="s">
        <v>710</v>
      </c>
      <c r="C21" s="128">
        <f>ROUND('DOE25'!L209+'DOE25'!L227+'DOE25'!L245+'DOE25'!L288+'DOE25'!L307+'DOE25'!L326,0)</f>
        <v>4035626</v>
      </c>
      <c r="D21" s="131">
        <f t="shared" si="0"/>
        <v>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453529</v>
      </c>
      <c r="D25" s="131">
        <f t="shared" si="0"/>
        <v>0.6</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1271982.76</v>
      </c>
      <c r="D27" s="131">
        <f t="shared" si="0"/>
        <v>1.6</v>
      </c>
    </row>
    <row r="28" spans="1:4" x14ac:dyDescent="0.2">
      <c r="B28" s="135" t="s">
        <v>719</v>
      </c>
      <c r="C28" s="129">
        <f>SUM(C10:C27)</f>
        <v>80663516.760000005</v>
      </c>
      <c r="D28" s="133">
        <f>ROUND(SUM(D10:D27),0)</f>
        <v>100</v>
      </c>
    </row>
    <row r="29" spans="1:4" x14ac:dyDescent="0.2">
      <c r="A29">
        <v>4000</v>
      </c>
      <c r="B29" t="s">
        <v>724</v>
      </c>
      <c r="C29" s="128">
        <f>ROUND('DOE25'!L256+'DOE25'!L337+'DOE25'!L375+'DOE25'!L376+'DOE25'!L377+'DOE25'!L378+'DOE25'!L379+'DOE25'!L380+'DOE25'!L381,0)</f>
        <v>1735147</v>
      </c>
    </row>
    <row r="30" spans="1:4" x14ac:dyDescent="0.2">
      <c r="B30" s="135" t="s">
        <v>725</v>
      </c>
      <c r="C30" s="129">
        <f>SUM(C28:C29)</f>
        <v>82398663.760000005</v>
      </c>
    </row>
    <row r="31" spans="1:4" x14ac:dyDescent="0.2">
      <c r="B31" s="32"/>
      <c r="C31" s="129"/>
    </row>
    <row r="32" spans="1:4" x14ac:dyDescent="0.2">
      <c r="A32">
        <v>5100</v>
      </c>
      <c r="B32" s="32" t="s">
        <v>726</v>
      </c>
      <c r="C32" s="129">
        <f>ROUND('DOE25'!L261+'DOE25'!L342,0)</f>
        <v>1363606</v>
      </c>
    </row>
    <row r="34" spans="1:4" x14ac:dyDescent="0.2">
      <c r="A34" s="135" t="s">
        <v>94</v>
      </c>
      <c r="B34" s="136" t="s">
        <v>1794</v>
      </c>
      <c r="C34" s="130" t="s">
        <v>720</v>
      </c>
      <c r="D34" s="130" t="s">
        <v>721</v>
      </c>
    </row>
    <row r="35" spans="1:4" x14ac:dyDescent="0.2">
      <c r="A35">
        <v>1100</v>
      </c>
      <c r="B35" s="71" t="s">
        <v>727</v>
      </c>
      <c r="C35" s="128">
        <f>ROUND('DOE25'!F60+'DOE25'!G60+'DOE25'!H60+'DOE25'!I60+'DOE25'!J60,0)</f>
        <v>37071584</v>
      </c>
      <c r="D35" s="131">
        <f t="shared" ref="D35:D40" si="1">ROUND((C35/$C$41)*100,1)</f>
        <v>37</v>
      </c>
    </row>
    <row r="36" spans="1:4" x14ac:dyDescent="0.2">
      <c r="B36" s="71" t="s">
        <v>739</v>
      </c>
      <c r="C36" s="128">
        <f>SUM('DOE25'!F112:J112)-SUM('DOE25'!G97:G110)+('DOE25'!F175+'DOE25'!F176+'DOE25'!I175+'DOE25'!I176)-C35</f>
        <v>7300184.2300000116</v>
      </c>
      <c r="D36" s="131">
        <f t="shared" si="1"/>
        <v>7.3</v>
      </c>
    </row>
    <row r="37" spans="1:4" x14ac:dyDescent="0.2">
      <c r="A37" s="132" t="s">
        <v>831</v>
      </c>
      <c r="B37" s="71" t="s">
        <v>728</v>
      </c>
      <c r="C37" s="128">
        <f>ROUND('DOE25'!F117+'DOE25'!F118,0)</f>
        <v>30496864</v>
      </c>
      <c r="D37" s="131">
        <f t="shared" si="1"/>
        <v>30.5</v>
      </c>
    </row>
    <row r="38" spans="1:4" x14ac:dyDescent="0.2">
      <c r="A38" s="132" t="s">
        <v>734</v>
      </c>
      <c r="B38" s="71" t="s">
        <v>729</v>
      </c>
      <c r="C38" s="128">
        <f>ROUND(SUM('DOE25'!F140:J140)-SUM('DOE25'!F117:F119),0)</f>
        <v>13644307</v>
      </c>
      <c r="D38" s="131">
        <f t="shared" si="1"/>
        <v>13.6</v>
      </c>
    </row>
    <row r="39" spans="1:4" x14ac:dyDescent="0.2">
      <c r="A39">
        <v>4000</v>
      </c>
      <c r="B39" s="71" t="s">
        <v>730</v>
      </c>
      <c r="C39" s="128">
        <f>ROUND('DOE25'!F170+'DOE25'!G170+'DOE25'!H170+'DOE25'!I170,0)</f>
        <v>11593923</v>
      </c>
      <c r="D39" s="131">
        <f t="shared" si="1"/>
        <v>11.6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100106862.23000002</v>
      </c>
      <c r="D41" s="133">
        <f>SUM(D35:D40)</f>
        <v>99.999999999999986</v>
      </c>
    </row>
    <row r="42" spans="1:4" x14ac:dyDescent="0.2">
      <c r="A42" s="132" t="s">
        <v>737</v>
      </c>
      <c r="B42" s="71" t="s">
        <v>733</v>
      </c>
      <c r="C42" s="128">
        <f>ROUND('DOE25'!F174+'DOE25'!I174+'DOE25'!F177+'DOE25'!I177,0)</f>
        <v>18805400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indexed="17"/>
  </sheetPr>
  <dimension ref="A1:IV90"/>
  <sheetViews>
    <sheetView zoomScaleNormal="100" workbookViewId="0">
      <selection activeCell="B10" sqref="B10"/>
    </sheetView>
  </sheetViews>
  <sheetFormatPr defaultRowHeight="11.25" x14ac:dyDescent="0.2"/>
  <cols>
    <col min="1" max="1" width="10.33203125" customWidth="1"/>
    <col min="14" max="14" width="6.1640625" customWidth="1"/>
  </cols>
  <sheetData>
    <row r="1" spans="1:13" ht="16.5" thickTop="1" x14ac:dyDescent="0.25">
      <c r="A1" s="340" t="s">
        <v>763</v>
      </c>
      <c r="B1" s="341"/>
      <c r="C1" s="341"/>
      <c r="D1" s="341"/>
      <c r="E1" s="341"/>
      <c r="F1" s="341"/>
      <c r="G1" s="341"/>
      <c r="H1" s="341"/>
      <c r="I1" s="341"/>
      <c r="J1" s="154"/>
      <c r="K1" s="154"/>
      <c r="L1" s="154"/>
      <c r="M1" s="155"/>
    </row>
    <row r="2" spans="1:13" ht="12.75" x14ac:dyDescent="0.2">
      <c r="A2" s="345" t="s">
        <v>760</v>
      </c>
      <c r="B2" s="346"/>
      <c r="C2" s="346"/>
      <c r="D2" s="346"/>
      <c r="E2" s="346"/>
      <c r="F2" s="343" t="str">
        <f>'DOE25'!A2</f>
        <v>Rochester</v>
      </c>
      <c r="G2" s="344"/>
      <c r="H2" s="344"/>
      <c r="I2" s="344"/>
      <c r="M2" s="156"/>
    </row>
    <row r="3" spans="1:13" x14ac:dyDescent="0.2">
      <c r="A3" s="157" t="s">
        <v>761</v>
      </c>
      <c r="B3" s="130" t="s">
        <v>762</v>
      </c>
      <c r="C3" s="325" t="s">
        <v>764</v>
      </c>
      <c r="D3" s="325"/>
      <c r="E3" s="325"/>
      <c r="F3" s="325"/>
      <c r="G3" s="325"/>
      <c r="H3" s="325"/>
      <c r="I3" s="325"/>
      <c r="J3" s="325"/>
      <c r="K3" s="325"/>
      <c r="L3" s="325"/>
      <c r="M3" s="342"/>
    </row>
    <row r="4" spans="1:13" x14ac:dyDescent="0.2">
      <c r="A4" s="158">
        <v>19</v>
      </c>
      <c r="B4" s="149" t="s">
        <v>1842</v>
      </c>
      <c r="C4" s="333" t="s">
        <v>1841</v>
      </c>
      <c r="D4" s="333"/>
      <c r="E4" s="333"/>
      <c r="F4" s="333"/>
      <c r="G4" s="333"/>
      <c r="H4" s="333"/>
      <c r="I4" s="333"/>
      <c r="J4" s="333"/>
      <c r="K4" s="333"/>
      <c r="L4" s="333"/>
      <c r="M4" s="334"/>
    </row>
    <row r="5" spans="1:13" x14ac:dyDescent="0.2">
      <c r="A5" s="158">
        <v>19</v>
      </c>
      <c r="B5" s="149" t="s">
        <v>1843</v>
      </c>
      <c r="C5" s="333" t="s">
        <v>1849</v>
      </c>
      <c r="D5" s="333"/>
      <c r="E5" s="333"/>
      <c r="F5" s="333"/>
      <c r="G5" s="333"/>
      <c r="H5" s="333"/>
      <c r="I5" s="333"/>
      <c r="J5" s="333"/>
      <c r="K5" s="333"/>
      <c r="L5" s="333"/>
      <c r="M5" s="334"/>
    </row>
    <row r="6" spans="1:13" x14ac:dyDescent="0.2">
      <c r="A6" s="158">
        <v>19</v>
      </c>
      <c r="B6" s="318" t="s">
        <v>1844</v>
      </c>
      <c r="C6" s="333" t="s">
        <v>1848</v>
      </c>
      <c r="D6" s="333"/>
      <c r="E6" s="333"/>
      <c r="F6" s="333"/>
      <c r="G6" s="333"/>
      <c r="H6" s="333"/>
      <c r="I6" s="333"/>
      <c r="J6" s="333"/>
      <c r="K6" s="333"/>
      <c r="L6" s="333"/>
      <c r="M6" s="334"/>
    </row>
    <row r="7" spans="1:13" x14ac:dyDescent="0.2">
      <c r="A7" s="158">
        <v>19</v>
      </c>
      <c r="B7" s="318" t="s">
        <v>1846</v>
      </c>
      <c r="C7" s="347" t="s">
        <v>1847</v>
      </c>
      <c r="D7" s="333"/>
      <c r="E7" s="333"/>
      <c r="F7" s="333"/>
      <c r="G7" s="333"/>
      <c r="H7" s="333"/>
      <c r="I7" s="333"/>
      <c r="J7" s="333"/>
      <c r="K7" s="333"/>
      <c r="L7" s="333"/>
      <c r="M7" s="334"/>
    </row>
    <row r="8" spans="1:13" x14ac:dyDescent="0.2">
      <c r="A8" s="158">
        <v>23</v>
      </c>
      <c r="B8" s="149" t="s">
        <v>1850</v>
      </c>
      <c r="C8" s="333" t="s">
        <v>1851</v>
      </c>
      <c r="D8" s="333"/>
      <c r="E8" s="333"/>
      <c r="F8" s="333"/>
      <c r="G8" s="333"/>
      <c r="H8" s="333"/>
      <c r="I8" s="333"/>
      <c r="J8" s="333"/>
      <c r="K8" s="333"/>
      <c r="L8" s="333"/>
      <c r="M8" s="334"/>
    </row>
    <row r="9" spans="1:13" x14ac:dyDescent="0.2">
      <c r="A9" s="158"/>
      <c r="B9" s="149"/>
      <c r="C9" s="333" t="s">
        <v>1852</v>
      </c>
      <c r="D9" s="333"/>
      <c r="E9" s="333"/>
      <c r="F9" s="333"/>
      <c r="G9" s="333"/>
      <c r="H9" s="333"/>
      <c r="I9" s="333"/>
      <c r="J9" s="333"/>
      <c r="K9" s="333"/>
      <c r="L9" s="333"/>
      <c r="M9" s="334"/>
    </row>
    <row r="10" spans="1:13" x14ac:dyDescent="0.2">
      <c r="A10" s="158"/>
      <c r="B10" s="149"/>
      <c r="C10" s="333"/>
      <c r="D10" s="333"/>
      <c r="E10" s="333"/>
      <c r="F10" s="333"/>
      <c r="G10" s="333"/>
      <c r="H10" s="333"/>
      <c r="I10" s="333"/>
      <c r="J10" s="333"/>
      <c r="K10" s="333"/>
      <c r="L10" s="333"/>
      <c r="M10" s="334"/>
    </row>
    <row r="11" spans="1:13" x14ac:dyDescent="0.2">
      <c r="A11" s="158"/>
      <c r="B11" s="149"/>
      <c r="C11" s="333"/>
      <c r="D11" s="333"/>
      <c r="E11" s="333"/>
      <c r="F11" s="333"/>
      <c r="G11" s="333"/>
      <c r="H11" s="333"/>
      <c r="I11" s="333"/>
      <c r="J11" s="333"/>
      <c r="K11" s="333"/>
      <c r="L11" s="333"/>
      <c r="M11" s="334"/>
    </row>
    <row r="12" spans="1:13" x14ac:dyDescent="0.2">
      <c r="A12" s="158"/>
      <c r="B12" s="149"/>
      <c r="C12" s="333"/>
      <c r="D12" s="333"/>
      <c r="E12" s="333"/>
      <c r="F12" s="333"/>
      <c r="G12" s="333"/>
      <c r="H12" s="333"/>
      <c r="I12" s="333"/>
      <c r="J12" s="333"/>
      <c r="K12" s="333"/>
      <c r="L12" s="333"/>
      <c r="M12" s="334"/>
    </row>
    <row r="13" spans="1:13" x14ac:dyDescent="0.2">
      <c r="A13" s="158"/>
      <c r="B13" s="149"/>
      <c r="C13" s="333"/>
      <c r="D13" s="333"/>
      <c r="E13" s="333"/>
      <c r="F13" s="333"/>
      <c r="G13" s="333"/>
      <c r="H13" s="333"/>
      <c r="I13" s="333"/>
      <c r="J13" s="333"/>
      <c r="K13" s="333"/>
      <c r="L13" s="333"/>
      <c r="M13" s="334"/>
    </row>
    <row r="14" spans="1:13" x14ac:dyDescent="0.2">
      <c r="A14" s="158"/>
      <c r="B14" s="149"/>
      <c r="C14" s="333"/>
      <c r="D14" s="333"/>
      <c r="E14" s="333"/>
      <c r="F14" s="333"/>
      <c r="G14" s="333"/>
      <c r="H14" s="333"/>
      <c r="I14" s="333"/>
      <c r="J14" s="333"/>
      <c r="K14" s="333"/>
      <c r="L14" s="333"/>
      <c r="M14" s="334"/>
    </row>
    <row r="15" spans="1:13" x14ac:dyDescent="0.2">
      <c r="A15" s="158"/>
      <c r="B15" s="149"/>
      <c r="C15" s="333"/>
      <c r="D15" s="333"/>
      <c r="E15" s="333"/>
      <c r="F15" s="333"/>
      <c r="G15" s="333"/>
      <c r="H15" s="333"/>
      <c r="I15" s="333"/>
      <c r="J15" s="333"/>
      <c r="K15" s="333"/>
      <c r="L15" s="333"/>
      <c r="M15" s="334"/>
    </row>
    <row r="16" spans="1:13" x14ac:dyDescent="0.2">
      <c r="A16" s="158"/>
      <c r="B16" s="149"/>
      <c r="C16" s="333"/>
      <c r="D16" s="333"/>
      <c r="E16" s="333"/>
      <c r="F16" s="333"/>
      <c r="G16" s="333"/>
      <c r="H16" s="333"/>
      <c r="I16" s="333"/>
      <c r="J16" s="333"/>
      <c r="K16" s="333"/>
      <c r="L16" s="333"/>
      <c r="M16" s="334"/>
    </row>
    <row r="17" spans="1:256" x14ac:dyDescent="0.2">
      <c r="A17" s="158"/>
      <c r="B17" s="149"/>
      <c r="C17" s="333"/>
      <c r="D17" s="333"/>
      <c r="E17" s="333"/>
      <c r="F17" s="333"/>
      <c r="G17" s="333"/>
      <c r="H17" s="333"/>
      <c r="I17" s="333"/>
      <c r="J17" s="333"/>
      <c r="K17" s="333"/>
      <c r="L17" s="333"/>
      <c r="M17" s="334"/>
    </row>
    <row r="18" spans="1:256" x14ac:dyDescent="0.2">
      <c r="A18" s="158"/>
      <c r="B18" s="149"/>
      <c r="C18" s="333"/>
      <c r="D18" s="333"/>
      <c r="E18" s="333"/>
      <c r="F18" s="333"/>
      <c r="G18" s="333"/>
      <c r="H18" s="333"/>
      <c r="I18" s="333"/>
      <c r="J18" s="333"/>
      <c r="K18" s="333"/>
      <c r="L18" s="333"/>
      <c r="M18" s="334"/>
    </row>
    <row r="19" spans="1:256" x14ac:dyDescent="0.2">
      <c r="A19" s="158"/>
      <c r="B19" s="149"/>
      <c r="C19" s="333"/>
      <c r="D19" s="333"/>
      <c r="E19" s="333"/>
      <c r="F19" s="333"/>
      <c r="G19" s="333"/>
      <c r="H19" s="333"/>
      <c r="I19" s="333"/>
      <c r="J19" s="333"/>
      <c r="K19" s="333"/>
      <c r="L19" s="333"/>
      <c r="M19" s="334"/>
    </row>
    <row r="20" spans="1:256" x14ac:dyDescent="0.2">
      <c r="A20" s="158"/>
      <c r="B20" s="149"/>
      <c r="C20" s="333"/>
      <c r="D20" s="333"/>
      <c r="E20" s="333"/>
      <c r="F20" s="333"/>
      <c r="G20" s="333"/>
      <c r="H20" s="333"/>
      <c r="I20" s="333"/>
      <c r="J20" s="333"/>
      <c r="K20" s="333"/>
      <c r="L20" s="333"/>
      <c r="M20" s="334"/>
    </row>
    <row r="21" spans="1:256" x14ac:dyDescent="0.2">
      <c r="A21" s="158"/>
      <c r="B21" s="149"/>
      <c r="C21" s="333"/>
      <c r="D21" s="333"/>
      <c r="E21" s="333"/>
      <c r="F21" s="333"/>
      <c r="G21" s="333"/>
      <c r="H21" s="333"/>
      <c r="I21" s="333"/>
      <c r="J21" s="333"/>
      <c r="K21" s="333"/>
      <c r="L21" s="333"/>
      <c r="M21" s="334"/>
    </row>
    <row r="22" spans="1:256" x14ac:dyDescent="0.2">
      <c r="A22" s="158"/>
      <c r="B22" s="149"/>
      <c r="C22" s="333"/>
      <c r="D22" s="333"/>
      <c r="E22" s="333"/>
      <c r="F22" s="333"/>
      <c r="G22" s="333"/>
      <c r="H22" s="333"/>
      <c r="I22" s="333"/>
      <c r="J22" s="333"/>
      <c r="K22" s="333"/>
      <c r="L22" s="333"/>
      <c r="M22" s="334"/>
    </row>
    <row r="23" spans="1:256" x14ac:dyDescent="0.2">
      <c r="A23" s="158"/>
      <c r="B23" s="149"/>
      <c r="C23" s="333"/>
      <c r="D23" s="333"/>
      <c r="E23" s="333"/>
      <c r="F23" s="333"/>
      <c r="G23" s="333"/>
      <c r="H23" s="333"/>
      <c r="I23" s="333"/>
      <c r="J23" s="333"/>
      <c r="K23" s="333"/>
      <c r="L23" s="333"/>
      <c r="M23" s="334"/>
    </row>
    <row r="24" spans="1:256" x14ac:dyDescent="0.2">
      <c r="A24" s="158"/>
      <c r="B24" s="149"/>
      <c r="C24" s="333"/>
      <c r="D24" s="333"/>
      <c r="E24" s="333"/>
      <c r="F24" s="333"/>
      <c r="G24" s="333"/>
      <c r="H24" s="333"/>
      <c r="I24" s="333"/>
      <c r="J24" s="333"/>
      <c r="K24" s="333"/>
      <c r="L24" s="333"/>
      <c r="M24" s="334"/>
    </row>
    <row r="25" spans="1:256" x14ac:dyDescent="0.2">
      <c r="A25" s="158"/>
      <c r="B25" s="149"/>
      <c r="C25" s="333"/>
      <c r="D25" s="333"/>
      <c r="E25" s="333"/>
      <c r="F25" s="333"/>
      <c r="G25" s="333"/>
      <c r="H25" s="333"/>
      <c r="I25" s="333"/>
      <c r="J25" s="333"/>
      <c r="K25" s="333"/>
      <c r="L25" s="333"/>
      <c r="M25" s="334"/>
    </row>
    <row r="26" spans="1:256" x14ac:dyDescent="0.2">
      <c r="A26" s="158"/>
      <c r="B26" s="149"/>
      <c r="C26" s="333"/>
      <c r="D26" s="333"/>
      <c r="E26" s="333"/>
      <c r="F26" s="333"/>
      <c r="G26" s="333"/>
      <c r="H26" s="333"/>
      <c r="I26" s="333"/>
      <c r="J26" s="333"/>
      <c r="K26" s="333"/>
      <c r="L26" s="333"/>
      <c r="M26" s="334"/>
    </row>
    <row r="27" spans="1:256" x14ac:dyDescent="0.2">
      <c r="A27" s="158"/>
      <c r="B27" s="149"/>
      <c r="C27" s="333"/>
      <c r="D27" s="333"/>
      <c r="E27" s="333"/>
      <c r="F27" s="333"/>
      <c r="G27" s="333"/>
      <c r="H27" s="333"/>
      <c r="I27" s="333"/>
      <c r="J27" s="333"/>
      <c r="K27" s="333"/>
      <c r="L27" s="333"/>
      <c r="M27" s="334"/>
    </row>
    <row r="28" spans="1:256" x14ac:dyDescent="0.2">
      <c r="A28" s="158"/>
      <c r="B28" s="149"/>
      <c r="C28" s="333"/>
      <c r="D28" s="333"/>
      <c r="E28" s="333"/>
      <c r="F28" s="333"/>
      <c r="G28" s="333"/>
      <c r="H28" s="333"/>
      <c r="I28" s="333"/>
      <c r="J28" s="333"/>
      <c r="K28" s="333"/>
      <c r="L28" s="333"/>
      <c r="M28" s="334"/>
    </row>
    <row r="29" spans="1:256" x14ac:dyDescent="0.2">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4"/>
    </row>
    <row r="51" spans="1:256" x14ac:dyDescent="0.2">
      <c r="A51" s="158"/>
      <c r="B51" s="149"/>
      <c r="C51" s="333"/>
      <c r="D51" s="333"/>
      <c r="E51" s="333"/>
      <c r="F51" s="333"/>
      <c r="G51" s="333"/>
      <c r="H51" s="333"/>
      <c r="I51" s="333"/>
      <c r="J51" s="333"/>
      <c r="K51" s="333"/>
      <c r="L51" s="333"/>
      <c r="M51" s="334"/>
    </row>
    <row r="52" spans="1:256" x14ac:dyDescent="0.2">
      <c r="A52" s="158"/>
      <c r="B52" s="149"/>
      <c r="C52" s="333"/>
      <c r="D52" s="333"/>
      <c r="E52" s="333"/>
      <c r="F52" s="333"/>
      <c r="G52" s="333"/>
      <c r="H52" s="333"/>
      <c r="I52" s="333"/>
      <c r="J52" s="333"/>
      <c r="K52" s="333"/>
      <c r="L52" s="333"/>
      <c r="M52" s="334"/>
    </row>
    <row r="53" spans="1:256" x14ac:dyDescent="0.2">
      <c r="A53" s="158"/>
      <c r="B53" s="149"/>
      <c r="C53" s="333"/>
      <c r="D53" s="333"/>
      <c r="E53" s="333"/>
      <c r="F53" s="333"/>
      <c r="G53" s="333"/>
      <c r="H53" s="333"/>
      <c r="I53" s="333"/>
      <c r="J53" s="333"/>
      <c r="K53" s="333"/>
      <c r="L53" s="333"/>
      <c r="M53" s="334"/>
    </row>
    <row r="54" spans="1:256" x14ac:dyDescent="0.2">
      <c r="A54" s="158"/>
      <c r="B54" s="149"/>
      <c r="C54" s="333"/>
      <c r="D54" s="333"/>
      <c r="E54" s="333"/>
      <c r="F54" s="333"/>
      <c r="G54" s="333"/>
      <c r="H54" s="333"/>
      <c r="I54" s="333"/>
      <c r="J54" s="333"/>
      <c r="K54" s="333"/>
      <c r="L54" s="333"/>
      <c r="M54" s="334"/>
    </row>
    <row r="55" spans="1:256" x14ac:dyDescent="0.2">
      <c r="A55" s="158"/>
      <c r="B55" s="149"/>
      <c r="C55" s="333"/>
      <c r="D55" s="333"/>
      <c r="E55" s="333"/>
      <c r="F55" s="333"/>
      <c r="G55" s="333"/>
      <c r="H55" s="333"/>
      <c r="I55" s="333"/>
      <c r="J55" s="333"/>
      <c r="K55" s="333"/>
      <c r="L55" s="333"/>
      <c r="M55" s="334"/>
    </row>
    <row r="56" spans="1:256" x14ac:dyDescent="0.2">
      <c r="A56" s="158"/>
      <c r="B56" s="149"/>
      <c r="C56" s="333"/>
      <c r="D56" s="333"/>
      <c r="E56" s="333"/>
      <c r="F56" s="333"/>
      <c r="G56" s="333"/>
      <c r="H56" s="333"/>
      <c r="I56" s="333"/>
      <c r="J56" s="333"/>
      <c r="K56" s="333"/>
      <c r="L56" s="333"/>
      <c r="M56" s="334"/>
    </row>
    <row r="57" spans="1:256" x14ac:dyDescent="0.2">
      <c r="A57" s="158"/>
      <c r="B57" s="149"/>
      <c r="C57" s="333"/>
      <c r="D57" s="333"/>
      <c r="E57" s="333"/>
      <c r="F57" s="333"/>
      <c r="G57" s="333"/>
      <c r="H57" s="333"/>
      <c r="I57" s="333"/>
      <c r="J57" s="333"/>
      <c r="K57" s="333"/>
      <c r="L57" s="333"/>
      <c r="M57" s="334"/>
    </row>
    <row r="58" spans="1:256" x14ac:dyDescent="0.2">
      <c r="A58" s="158"/>
      <c r="B58" s="149"/>
      <c r="C58" s="333"/>
      <c r="D58" s="333"/>
      <c r="E58" s="333"/>
      <c r="F58" s="333"/>
      <c r="G58" s="333"/>
      <c r="H58" s="333"/>
      <c r="I58" s="333"/>
      <c r="J58" s="333"/>
      <c r="K58" s="333"/>
      <c r="L58" s="333"/>
      <c r="M58" s="334"/>
    </row>
    <row r="59" spans="1:256" x14ac:dyDescent="0.2">
      <c r="A59" s="158"/>
      <c r="B59" s="149"/>
      <c r="C59" s="333"/>
      <c r="D59" s="333"/>
      <c r="E59" s="333"/>
      <c r="F59" s="333"/>
      <c r="G59" s="333"/>
      <c r="H59" s="333"/>
      <c r="I59" s="333"/>
      <c r="J59" s="333"/>
      <c r="K59" s="333"/>
      <c r="L59" s="333"/>
      <c r="M59" s="334"/>
    </row>
    <row r="60" spans="1:256" x14ac:dyDescent="0.2">
      <c r="A60" s="158"/>
      <c r="B60" s="149"/>
      <c r="C60" s="333"/>
      <c r="D60" s="333"/>
      <c r="E60" s="333"/>
      <c r="F60" s="333"/>
      <c r="G60" s="333"/>
      <c r="H60" s="333"/>
      <c r="I60" s="333"/>
      <c r="J60" s="333"/>
      <c r="K60" s="333"/>
      <c r="L60" s="333"/>
      <c r="M60" s="334"/>
    </row>
    <row r="61" spans="1:256" x14ac:dyDescent="0.2">
      <c r="A61" s="158"/>
      <c r="B61" s="149"/>
      <c r="C61" s="333"/>
      <c r="D61" s="333"/>
      <c r="E61" s="333"/>
      <c r="F61" s="333"/>
      <c r="G61" s="333"/>
      <c r="H61" s="333"/>
      <c r="I61" s="333"/>
      <c r="J61" s="333"/>
      <c r="K61" s="333"/>
      <c r="L61" s="333"/>
      <c r="M61" s="334"/>
    </row>
    <row r="62" spans="1:256" x14ac:dyDescent="0.2">
      <c r="A62" s="158"/>
      <c r="B62" s="149"/>
      <c r="C62" s="333"/>
      <c r="D62" s="333"/>
      <c r="E62" s="333"/>
      <c r="F62" s="333"/>
      <c r="G62" s="333"/>
      <c r="H62" s="333"/>
      <c r="I62" s="333"/>
      <c r="J62" s="333"/>
      <c r="K62" s="333"/>
      <c r="L62" s="333"/>
      <c r="M62" s="334"/>
    </row>
    <row r="63" spans="1:256" x14ac:dyDescent="0.2">
      <c r="A63" s="158"/>
      <c r="B63" s="149"/>
      <c r="C63" s="333"/>
      <c r="D63" s="333"/>
      <c r="E63" s="333"/>
      <c r="F63" s="333"/>
      <c r="G63" s="333"/>
      <c r="H63" s="333"/>
      <c r="I63" s="333"/>
      <c r="J63" s="333"/>
      <c r="K63" s="333"/>
      <c r="L63" s="333"/>
      <c r="M63" s="334"/>
    </row>
    <row r="64" spans="1:256" x14ac:dyDescent="0.2">
      <c r="A64" s="158"/>
      <c r="B64" s="149"/>
      <c r="C64" s="333"/>
      <c r="D64" s="333"/>
      <c r="E64" s="333"/>
      <c r="F64" s="333"/>
      <c r="G64" s="333"/>
      <c r="H64" s="333"/>
      <c r="I64" s="333"/>
      <c r="J64" s="333"/>
      <c r="K64" s="333"/>
      <c r="L64" s="333"/>
      <c r="M64" s="334"/>
    </row>
    <row r="65" spans="1:13" x14ac:dyDescent="0.2">
      <c r="A65" s="158"/>
      <c r="B65" s="149"/>
      <c r="C65" s="333"/>
      <c r="D65" s="333"/>
      <c r="E65" s="333"/>
      <c r="F65" s="333"/>
      <c r="G65" s="333"/>
      <c r="H65" s="333"/>
      <c r="I65" s="333"/>
      <c r="J65" s="333"/>
      <c r="K65" s="333"/>
      <c r="L65" s="333"/>
      <c r="M65" s="334"/>
    </row>
    <row r="66" spans="1:13" x14ac:dyDescent="0.2">
      <c r="A66" s="158"/>
      <c r="B66" s="149"/>
      <c r="C66" s="333"/>
      <c r="D66" s="333"/>
      <c r="E66" s="333"/>
      <c r="F66" s="333"/>
      <c r="G66" s="333"/>
      <c r="H66" s="333"/>
      <c r="I66" s="333"/>
      <c r="J66" s="333"/>
      <c r="K66" s="333"/>
      <c r="L66" s="333"/>
      <c r="M66" s="334"/>
    </row>
    <row r="67" spans="1:13" x14ac:dyDescent="0.2">
      <c r="A67" s="158"/>
      <c r="B67" s="149"/>
      <c r="C67" s="333"/>
      <c r="D67" s="333"/>
      <c r="E67" s="333"/>
      <c r="F67" s="333"/>
      <c r="G67" s="333"/>
      <c r="H67" s="333"/>
      <c r="I67" s="333"/>
      <c r="J67" s="333"/>
      <c r="K67" s="333"/>
      <c r="L67" s="333"/>
      <c r="M67" s="334"/>
    </row>
    <row r="68" spans="1:13" x14ac:dyDescent="0.2">
      <c r="A68" s="158"/>
      <c r="B68" s="149"/>
      <c r="C68" s="333"/>
      <c r="D68" s="333"/>
      <c r="E68" s="333"/>
      <c r="F68" s="333"/>
      <c r="G68" s="333"/>
      <c r="H68" s="333"/>
      <c r="I68" s="333"/>
      <c r="J68" s="333"/>
      <c r="K68" s="333"/>
      <c r="L68" s="333"/>
      <c r="M68" s="334"/>
    </row>
    <row r="69" spans="1:13" x14ac:dyDescent="0.2">
      <c r="A69" s="158"/>
      <c r="B69" s="149"/>
      <c r="C69" s="333"/>
      <c r="D69" s="333"/>
      <c r="E69" s="333"/>
      <c r="F69" s="333"/>
      <c r="G69" s="333"/>
      <c r="H69" s="333"/>
      <c r="I69" s="333"/>
      <c r="J69" s="333"/>
      <c r="K69" s="333"/>
      <c r="L69" s="333"/>
      <c r="M69" s="334"/>
    </row>
    <row r="70" spans="1:13" ht="12" thickBot="1" x14ac:dyDescent="0.25">
      <c r="A70" s="159"/>
      <c r="B70" s="160"/>
      <c r="C70" s="335"/>
      <c r="D70" s="335"/>
      <c r="E70" s="335"/>
      <c r="F70" s="335"/>
      <c r="G70" s="335"/>
      <c r="H70" s="335"/>
      <c r="I70" s="335"/>
      <c r="J70" s="335"/>
      <c r="K70" s="335"/>
      <c r="L70" s="335"/>
      <c r="M70" s="336"/>
    </row>
    <row r="71" spans="1:13" ht="12" thickTop="1" x14ac:dyDescent="0.2">
      <c r="A71" s="150"/>
      <c r="B71" s="150"/>
      <c r="C71" s="151"/>
      <c r="D71" s="151"/>
      <c r="E71" s="151"/>
      <c r="F71" s="151"/>
      <c r="G71" s="151"/>
      <c r="H71" s="151"/>
      <c r="I71" s="151"/>
      <c r="J71" s="151"/>
      <c r="K71" s="151"/>
      <c r="L71" s="151"/>
    </row>
    <row r="72" spans="1:13" ht="12.75" x14ac:dyDescent="0.2">
      <c r="A72" s="337" t="s">
        <v>828</v>
      </c>
      <c r="B72" s="337"/>
      <c r="C72" s="337"/>
      <c r="D72" s="337"/>
      <c r="E72" s="337"/>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41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62</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10</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75</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f>IFERROR(SMALL(AE5:$AE$100,ROWS($AE$4:AE5)),"")</f>
        <v>89</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IFERROR(SMALL($I$4:$I$325,ROWS($I$4:I6)),"")</f>
        <v>105</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IFERROR(SMALL($I$4:$I$325,ROWS($I$4:I7)),"")</f>
        <v>180</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IFERROR(SMALL($I$4:$I$325,ROWS($I$4:I8)),"")</f>
        <v>189</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f>IFERROR(SMALL($I$4:$I$325,ROWS($I$4:I9)),"")</f>
        <v>212</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f>IFERROR(SMALL($I$4:$I$325,ROWS($I$4:I10)),"")</f>
        <v>275</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f>IFERROR(SMALL($I$4:$I$325,ROWS($I$4:I11)),"")</f>
        <v>322</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f>IF('School Level Expenditures'!$B$2='School Tables'!W13,'School Tables'!AD13,"")</f>
        <v>10</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f>IF('School Level Expenditures'!$B$2=A44,'School Tables'!H44,"")</f>
        <v>41</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f>IF('School Level Expenditures'!$B$2='School Tables'!L65,'School Tables'!S65,"")</f>
        <v>62</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f>IF('School Level Expenditures'!$B$2=A78,'School Tables'!H78,"")</f>
        <v>75</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f>IF('School Level Expenditures'!$B$2='School Tables'!W92,'School Tables'!AD92,"")</f>
        <v>89</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f>IF('School Level Expenditures'!$B$2=A108,'School Tables'!H108,"")</f>
        <v>105</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f>IF('School Level Expenditures'!$B$2=A183,'School Tables'!H183,"")</f>
        <v>180</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f>IF('School Level Expenditures'!$B$2=A192,'School Tables'!H192,"")</f>
        <v>189</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f>IF('School Level Expenditures'!$B$2=A215,'School Tables'!H215,"")</f>
        <v>212</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f>IF('School Level Expenditures'!$B$2=A278,'School Tables'!H278,"")</f>
        <v>275</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f>IF('School Level Expenditures'!$B$2=A325,'School Tables'!H325,"")</f>
        <v>322</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2024-10-16T18:55:13Z</cp:lastPrinted>
  <dcterms:created xsi:type="dcterms:W3CDTF">1997-12-04T19:04:30Z</dcterms:created>
  <dcterms:modified xsi:type="dcterms:W3CDTF">2024-12-20T19:27:40Z</dcterms:modified>
</cp:coreProperties>
</file>