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C1A8FCE9-890F-4313-8581-F5DC332D1BF6}"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120" yWindow="-120" windowWidth="29040" windowHeight="1599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 i="17" l="1"/>
  <c r="M6" i="14" l="1"/>
  <c r="D6" i="14"/>
  <c r="H14" i="1"/>
  <c r="H155" i="1"/>
  <c r="H283" i="1"/>
  <c r="H473" i="1"/>
  <c r="H469" i="1"/>
  <c r="H24" i="1"/>
  <c r="G97" i="1"/>
  <c r="D9" i="13"/>
  <c r="N6" i="14"/>
  <c r="K6" i="14"/>
  <c r="L6" i="14"/>
  <c r="K39" i="14"/>
  <c r="K26" i="14"/>
  <c r="D39" i="14"/>
  <c r="C10" i="12"/>
  <c r="C11" i="12"/>
  <c r="C39" i="12"/>
  <c r="B39" i="12"/>
  <c r="C21" i="12"/>
  <c r="C20" i="12"/>
  <c r="C19" i="12"/>
  <c r="B20" i="12"/>
  <c r="C12" i="12"/>
  <c r="B10" i="12"/>
  <c r="B12" i="12"/>
  <c r="B11" i="12"/>
  <c r="H154" i="1"/>
  <c r="E13" i="17"/>
  <c r="G532" i="1"/>
  <c r="F532" i="1"/>
  <c r="I527" i="1" l="1"/>
  <c r="H527" i="1"/>
  <c r="F522" i="1"/>
  <c r="G527" i="1"/>
  <c r="J592" i="1"/>
  <c r="I592" i="1"/>
  <c r="H12" i="1"/>
  <c r="F22" i="1"/>
  <c r="G277" i="1" l="1"/>
  <c r="F50" i="1"/>
  <c r="G198" i="1"/>
  <c r="J469" i="1"/>
  <c r="F101" i="1" l="1"/>
  <c r="F469" i="1"/>
  <c r="F12" i="1"/>
  <c r="F369" i="1" l="1"/>
  <c r="F368" i="1"/>
  <c r="F277" i="1"/>
  <c r="H277" i="1"/>
  <c r="H286" i="1"/>
  <c r="K205" i="1"/>
  <c r="H245" i="1"/>
  <c r="H227" i="1"/>
  <c r="H235" i="1"/>
  <c r="H217" i="1"/>
  <c r="H216" i="1"/>
  <c r="G221" i="1"/>
  <c r="F221" i="1"/>
  <c r="I208" i="1"/>
  <c r="I203" i="1"/>
  <c r="H199" i="1"/>
  <c r="H198" i="1"/>
  <c r="H209" i="1"/>
  <c r="H208" i="1"/>
  <c r="H205" i="1"/>
  <c r="G205" i="1"/>
  <c r="G203" i="1"/>
  <c r="G201" i="1"/>
  <c r="F205" i="1"/>
  <c r="F203" i="1"/>
  <c r="F201" i="1"/>
  <c r="H162" i="1"/>
  <c r="G158" i="1"/>
  <c r="H22" i="1" l="1"/>
  <c r="F110" i="1"/>
  <c r="F29"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I121" i="1"/>
  <c r="I136" i="1"/>
  <c r="J121" i="1"/>
  <c r="J136" i="1"/>
  <c r="F147" i="1"/>
  <c r="F170" i="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H25" i="2" s="1"/>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G69" i="2"/>
  <c r="G70" i="2" s="1"/>
  <c r="C72" i="2"/>
  <c r="F72" i="2"/>
  <c r="H72" i="2" s="1"/>
  <c r="C73" i="2"/>
  <c r="F73" i="2"/>
  <c r="C74" i="2"/>
  <c r="H74" i="2" s="1"/>
  <c r="C75" i="2"/>
  <c r="H75" i="2" s="1"/>
  <c r="C76" i="2"/>
  <c r="E76" i="2"/>
  <c r="F76" i="2"/>
  <c r="C77" i="2"/>
  <c r="D77" i="2"/>
  <c r="D78" i="2" s="1"/>
  <c r="E77" i="2"/>
  <c r="F77" i="2"/>
  <c r="G77" i="2"/>
  <c r="G78" i="2" s="1"/>
  <c r="C79" i="2"/>
  <c r="H79" i="2" s="1"/>
  <c r="D79" i="2"/>
  <c r="E79" i="2"/>
  <c r="C80" i="2"/>
  <c r="H80" i="2" s="1"/>
  <c r="E80" i="2"/>
  <c r="C85" i="2"/>
  <c r="C87" i="2"/>
  <c r="E87" i="2"/>
  <c r="F87" i="2"/>
  <c r="C89" i="2"/>
  <c r="D89" i="2"/>
  <c r="E89" i="2"/>
  <c r="F89" i="2"/>
  <c r="C90" i="2"/>
  <c r="H90" i="2" s="1"/>
  <c r="C93" i="2"/>
  <c r="F93" i="2"/>
  <c r="C94" i="2"/>
  <c r="F94" i="2"/>
  <c r="D96" i="2"/>
  <c r="E96" i="2"/>
  <c r="F96" i="2"/>
  <c r="H96" i="2" s="1"/>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J652" i="1" l="1"/>
  <c r="G646" i="1"/>
  <c r="J140" i="1"/>
  <c r="J112" i="1"/>
  <c r="I409" i="1"/>
  <c r="F409" i="1"/>
  <c r="H644" i="1" s="1"/>
  <c r="G409" i="1"/>
  <c r="H646" i="1" s="1"/>
  <c r="D29" i="13"/>
  <c r="C29" i="13" s="1"/>
  <c r="G662" i="1"/>
  <c r="H143" i="2"/>
  <c r="H135" i="2"/>
  <c r="H132" i="2"/>
  <c r="H113" i="2"/>
  <c r="E120" i="2"/>
  <c r="E111" i="2"/>
  <c r="E112" i="2"/>
  <c r="E125" i="2"/>
  <c r="G663" i="1"/>
  <c r="E124" i="2"/>
  <c r="C32" i="10"/>
  <c r="K36" i="14"/>
  <c r="K37" i="14" s="1"/>
  <c r="G651" i="1"/>
  <c r="C119" i="2"/>
  <c r="C125" i="2"/>
  <c r="D15" i="13"/>
  <c r="C15" i="13" s="1"/>
  <c r="E13" i="13"/>
  <c r="C13" i="13" s="1"/>
  <c r="C13" i="10"/>
  <c r="C12" i="10"/>
  <c r="C120" i="2"/>
  <c r="C112" i="2"/>
  <c r="K2" i="14"/>
  <c r="K3" i="14" s="1"/>
  <c r="H140" i="1"/>
  <c r="H58" i="2"/>
  <c r="H98" i="2"/>
  <c r="H12" i="2"/>
  <c r="H8" i="2"/>
  <c r="H48" i="2"/>
  <c r="H44" i="2"/>
  <c r="H36" i="2"/>
  <c r="H102" i="2"/>
  <c r="H101" i="2"/>
  <c r="H100" i="2"/>
  <c r="H99" i="2"/>
  <c r="H97" i="2"/>
  <c r="H94" i="2"/>
  <c r="H93" i="2"/>
  <c r="H89" i="2"/>
  <c r="H87" i="2"/>
  <c r="H77" i="2"/>
  <c r="H76" i="2"/>
  <c r="H73" i="2"/>
  <c r="H61" i="2"/>
  <c r="H59" i="2"/>
  <c r="H47" i="2"/>
  <c r="H43" i="2"/>
  <c r="H38" i="2"/>
  <c r="H35" i="2"/>
  <c r="H34" i="2"/>
  <c r="H30" i="2"/>
  <c r="H29" i="2"/>
  <c r="H28" i="2"/>
  <c r="H27" i="2"/>
  <c r="H26" i="2"/>
  <c r="H24" i="2"/>
  <c r="H23" i="2"/>
  <c r="H22" i="2"/>
  <c r="H21" i="2"/>
  <c r="H17" i="2"/>
  <c r="H15" i="2"/>
  <c r="H13" i="2"/>
  <c r="H11" i="2"/>
  <c r="H9" i="2"/>
  <c r="H477" i="1"/>
  <c r="H625" i="1" s="1"/>
  <c r="J625" i="1" s="1"/>
  <c r="G477" i="1"/>
  <c r="B33" i="16" s="1"/>
  <c r="F85" i="2"/>
  <c r="H85" i="2" s="1"/>
  <c r="F70" i="2"/>
  <c r="H70" i="2" s="1"/>
  <c r="H69" i="2"/>
  <c r="I112" i="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C81" i="2" s="1"/>
  <c r="F78" i="2"/>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51" i="2" l="1"/>
  <c r="L572" i="1"/>
  <c r="J646" i="1"/>
  <c r="H42" i="2"/>
  <c r="H16" i="2"/>
  <c r="H134" i="2"/>
  <c r="D128" i="2"/>
  <c r="D145" i="2" s="1"/>
  <c r="H127" i="2"/>
  <c r="H120" i="2"/>
  <c r="H112" i="2"/>
  <c r="H111" i="2"/>
  <c r="E144" i="2"/>
  <c r="H114" i="2"/>
  <c r="H125" i="2"/>
  <c r="I663" i="1"/>
  <c r="H124" i="2"/>
  <c r="H123" i="2"/>
  <c r="H122" i="2"/>
  <c r="H119" i="2"/>
  <c r="H57" i="2"/>
  <c r="H91" i="2"/>
  <c r="I662" i="1"/>
  <c r="E51" i="2"/>
  <c r="H103" i="2"/>
  <c r="F194" i="1"/>
  <c r="G628" i="1" s="1"/>
  <c r="J628" i="1" s="1"/>
  <c r="H50" i="2"/>
  <c r="H31" i="2"/>
  <c r="H18" i="2"/>
  <c r="H624" i="1"/>
  <c r="J624" i="1" s="1"/>
  <c r="F81" i="2"/>
  <c r="H81" i="2" s="1"/>
  <c r="H78" i="2"/>
  <c r="F63" i="2"/>
  <c r="H62"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63" i="2"/>
  <c r="H104"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<sst xmlns="http://schemas.openxmlformats.org/spreadsheetml/2006/main" count="6645" uniqueCount="1843">
  <si>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</si>
  <si>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</si>
  <si>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</si>
  <si>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</si>
  <si>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</si>
  <si>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</si>
  <si>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</si>
  <si>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</si>
  <si>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</si>
  <si>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</si>
  <si>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</si>
  <si>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</si>
  <si>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</si>
  <si>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</si>
  <si>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</si>
  <si>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</si>
  <si>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</si>
  <si>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</si>
  <si>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</si>
  <si>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</si>
  <si>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</si>
  <si>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</si>
  <si>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</si>
  <si>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</si>
  <si>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</si>
  <si>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</si>
  <si>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</si>
  <si>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</si>
  <si>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</si>
  <si>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</si>
  <si>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</si>
  <si>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</si>
  <si>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</si>
  <si>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</si>
  <si>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</si>
  <si>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</si>
  <si>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</si>
  <si>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</si>
  <si>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</si>
  <si>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</si>
  <si>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</si>
  <si>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</si>
  <si>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</si>
  <si>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</si>
  <si>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</si>
  <si>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</si>
  <si>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</si>
  <si>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</si>
  <si>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</si>
  <si>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</si>
  <si>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</si>
  <si>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</si>
  <si>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</si>
  <si>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</si>
  <si>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</si>
  <si>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</si>
  <si>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</si>
  <si>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</si>
  <si>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</si>
  <si>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</si>
  <si>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</si>
  <si>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</si>
  <si>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</si>
  <si>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</si>
  <si>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</si>
  <si>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</si>
  <si>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</si>
  <si>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</si>
  <si>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</si>
  <si>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</si>
  <si>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</si>
  <si>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</si>
  <si>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</si>
  <si>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</si>
  <si>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</si>
  <si>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</si>
  <si>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</si>
  <si>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</si>
  <si>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</si>
  <si>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</si>
  <si>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</si>
  <si>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</si>
  <si>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</si>
  <si>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</si>
  <si>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</si>
  <si>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</si>
  <si>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</si>
  <si>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</si>
  <si>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</si>
  <si>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</si>
  <si>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</si>
  <si>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</si>
  <si>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</si>
  <si>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</si>
  <si>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</si>
  <si>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</si>
  <si>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</si>
  <si>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</si>
  <si>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</si>
  <si>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</si>
  <si>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</si>
  <si>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</si>
  <si>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</si>
  <si>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</si>
  <si>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</si>
  <si>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</si>
  <si>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</si>
  <si>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</si>
  <si>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</si>
  <si>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</si>
  <si>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</si>
  <si>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</si>
  <si>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</si>
  <si>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</si>
  <si>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</si>
  <si>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</si>
  <si>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</si>
  <si>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</si>
  <si>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</si>
  <si>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</si>
  <si>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</si>
  <si>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</si>
  <si>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</si>
  <si>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</si>
  <si>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</si>
  <si>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</si>
  <si>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</si>
  <si>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</si>
  <si>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</si>
  <si>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</si>
  <si>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</si>
  <si>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</si>
  <si>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</si>
  <si>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</si>
  <si>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</si>
  <si>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</si>
  <si>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</si>
  <si>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</si>
  <si>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</si>
  <si>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</si>
  <si>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</si>
  <si>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</si>
  <si>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</si>
  <si>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</si>
  <si>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</si>
  <si>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</si>
  <si>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</si>
  <si>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</si>
  <si>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</si>
  <si>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</si>
  <si>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</si>
  <si>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</si>
  <si>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</si>
  <si>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</si>
  <si>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</si>
  <si>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</si>
  <si>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</si>
  <si>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</si>
  <si>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</si>
  <si>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</si>
  <si>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</si>
  <si>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</si>
  <si>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</si>
  <si>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</si>
  <si>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</si>
  <si>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</si>
  <si>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</si>
  <si>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</si>
  <si>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</si>
  <si>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</si>
  <si>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</si>
  <si>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</si>
  <si>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</si>
  <si>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</si>
  <si>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</si>
  <si>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</si>
  <si>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</si>
  <si>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</si>
  <si>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</si>
  <si>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</si>
  <si>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</si>
  <si>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</si>
  <si>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</si>
  <si>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</si>
  <si>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</si>
  <si>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</si>
  <si>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</si>
  <si>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</si>
  <si>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</si>
  <si>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</si>
  <si>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</si>
  <si>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</si>
  <si>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</si>
  <si>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</si>
  <si>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</si>
  <si>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</si>
  <si>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</si>
  <si>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</si>
  <si>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</si>
  <si>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</si>
  <si>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</si>
  <si>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</si>
  <si>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</si>
  <si>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</si>
  <si>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</si>
  <si>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</si>
  <si>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</si>
  <si>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</si>
  <si>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</si>
  <si>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</si>
  <si>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</si>
  <si>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</si>
  <si>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</si>
  <si>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</si>
  <si>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</si>
  <si>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</si>
  <si>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</si>
  <si>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</si>
  <si>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</si>
  <si>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</si>
  <si>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</si>
  <si>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</si>
  <si>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</si>
  <si>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</si>
  <si>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</si>
  <si>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</si>
  <si>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</si>
  <si>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</si>
  <si>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</si>
  <si>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</si>
  <si>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</si>
  <si>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</si>
  <si>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</si>
  <si>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</si>
  <si>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</si>
  <si>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</si>
  <si>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</si>
  <si>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</si>
  <si>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</si>
  <si>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</si>
  <si>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</si>
  <si>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</si>
  <si>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</si>
  <si>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</si>
  <si>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</si>
  <si>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</si>
  <si>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</si>
  <si>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</si>
  <si>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</si>
  <si>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</si>
  <si>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</si>
  <si>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</si>
  <si>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</si>
  <si>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</si>
  <si>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</si>
  <si>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</si>
  <si>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</si>
  <si>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</si>
  <si>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</si>
  <si>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</si>
  <si>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</si>
  <si>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</si>
  <si>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</si>
  <si>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</si>
  <si>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</si>
  <si>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</si>
  <si>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</si>
  <si>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</si>
  <si>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</si>
  <si>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</si>
  <si>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</si>
  <si>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</si>
  <si>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</si>
  <si>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</si>
  <si>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</si>
  <si>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</si>
  <si>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</si>
  <si>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</si>
  <si>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</si>
  <si>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</si>
  <si>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</si>
  <si>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</si>
  <si>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</si>
  <si>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</si>
  <si>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</si>
  <si>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</si>
  <si>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</si>
  <si>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</si>
  <si>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</si>
  <si>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</si>
  <si>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</si>
  <si>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</si>
  <si>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</si>
  <si>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</si>
  <si>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</si>
  <si>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</si>
  <si>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</si>
  <si>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</si>
  <si>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</si>
  <si>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</si>
  <si>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</si>
  <si>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</si>
  <si>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</si>
  <si>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</si>
  <si>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</si>
  <si>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</si>
  <si>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</si>
  <si>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</si>
  <si>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</si>
  <si>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</si>
  <si>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</si>
  <si>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</si>
  <si>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</si>
  <si>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</si>
  <si>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</si>
  <si>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</si>
  <si>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</si>
  <si>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</si>
  <si>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</si>
  <si>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</si>
  <si>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</si>
  <si>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</si>
  <si>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</si>
  <si>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</si>
  <si>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</si>
  <si>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</si>
  <si>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</si>
  <si>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</si>
  <si>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</si>
  <si>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</si>
  <si>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</si>
  <si>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</si>
  <si>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</si>
  <si>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</si>
  <si>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</si>
  <si>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</si>
  <si>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</si>
  <si>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</si>
  <si>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</si>
  <si>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</si>
  <si>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</si>
  <si>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</si>
  <si>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</si>
  <si>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</si>
  <si>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</si>
  <si>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</si>
  <si>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</si>
  <si>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</si>
  <si>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</si>
  <si>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</si>
  <si>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</si>
  <si>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</si>
  <si>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</si>
  <si>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</si>
  <si>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</si>
  <si>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</si>
  <si>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</si>
  <si>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</si>
  <si>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</si>
  <si>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</si>
  <si>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</si>
  <si>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</si>
  <si>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</si>
  <si>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</si>
  <si>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</si>
  <si>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</si>
  <si>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</si>
  <si>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</si>
  <si>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</si>
  <si>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</si>
  <si>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</si>
  <si>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</si>
  <si>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</si>
  <si>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</si>
  <si>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</si>
  <si>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</si>
  <si>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</si>
  <si>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</si>
  <si>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</si>
  <si>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</si>
  <si>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</si>
  <si>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</si>
  <si>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</si>
  <si>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</si>
  <si>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</si>
  <si>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</si>
  <si>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</si>
  <si>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</si>
  <si>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</si>
  <si>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</si>
  <si>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</si>
  <si>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</si>
  <si>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</si>
  <si>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</si>
  <si>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</si>
  <si>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</si>
  <si>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</si>
  <si>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</si>
  <si>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</si>
  <si>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</si>
  <si>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</si>
  <si>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</si>
  <si>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</si>
  <si>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</si>
  <si>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</si>
  <si>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</si>
  <si>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</si>
  <si>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</si>
  <si>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</si>
  <si>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</si>
  <si>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</si>
  <si>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</si>
  <si>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</si>
  <si>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</si>
  <si>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</si>
  <si>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</si>
  <si>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</si>
  <si>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</si>
  <si>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</si>
  <si>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</si>
  <si>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</si>
  <si>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</si>
  <si>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</si>
  <si>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</si>
  <si>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</si>
  <si>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</si>
  <si>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</si>
  <si>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</si>
  <si>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</si>
  <si>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</si>
  <si>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</si>
  <si>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</si>
  <si>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</si>
  <si>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</si>
  <si>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</si>
  <si>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</si>
  <si>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</si>
  <si>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</si>
  <si>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</si>
  <si>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</si>
  <si>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</si>
  <si>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</si>
  <si>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</si>
  <si>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</si>
  <si>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</si>
  <si>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</si>
  <si>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</si>
  <si>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</si>
  <si>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</si>
  <si>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</si>
  <si>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</si>
  <si>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</si>
  <si>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</si>
  <si>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</si>
  <si>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</si>
  <si>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</si>
  <si>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</si>
  <si>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</si>
  <si>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</si>
  <si>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</si>
  <si>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</si>
  <si>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</si>
  <si>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</si>
  <si>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</si>
  <si>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</si>
  <si>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</si>
  <si>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</si>
  <si>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</si>
  <si>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</si>
  <si>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</si>
  <si>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</si>
  <si>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</si>
  <si>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</si>
  <si>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</si>
  <si>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</si>
  <si>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</si>
  <si>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</si>
  <si>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</si>
  <si>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</si>
  <si>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</si>
  <si>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</si>
  <si>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</si>
  <si>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</si>
  <si>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</si>
  <si>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</si>
  <si>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</si>
  <si>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</si>
  <si>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</si>
  <si>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</si>
  <si>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</si>
  <si>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</si>
  <si>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</si>
  <si>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</si>
  <si>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</si>
  <si>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</si>
  <si>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</si>
  <si>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</si>
  <si>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</si>
  <si>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</si>
  <si>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</si>
  <si>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</si>
  <si>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</si>
  <si>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</si>
  <si>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</si>
  <si>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</si>
  <si>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</si>
  <si>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</si>
  <si>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</si>
  <si>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</si>
  <si>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</si>
  <si>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</si>
  <si>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</si>
  <si>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</si>
  <si>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</si>
  <si>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</si>
  <si>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</si>
  <si>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</si>
  <si>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</si>
  <si>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</si>
  <si>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</si>
  <si>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</si>
  <si>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</si>
  <si>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</si>
  <si>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</si>
  <si>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</si>
  <si>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</si>
  <si>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</si>
  <si>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</si>
  <si>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</si>
  <si>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</si>
  <si>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</si>
  <si>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</si>
  <si>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</si>
  <si>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</si>
  <si>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</si>
  <si>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</si>
  <si>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</si>
  <si>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</si>
  <si>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</si>
  <si>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</si>
  <si>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</si>
  <si>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</si>
  <si>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</si>
  <si>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</si>
  <si>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</si>
  <si>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</si>
  <si>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</si>
  <si>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</si>
  <si>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</si>
  <si>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</si>
  <si>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</si>
  <si>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</si>
  <si>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</si>
  <si>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</si>
  <si>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</si>
  <si>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</si>
  <si>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</si>
  <si>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</si>
  <si>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</si>
  <si>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</si>
  <si>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</si>
  <si>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</si>
  <si>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</si>
  <si>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</si>
  <si>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</si>
  <si>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</si>
  <si>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</si>
  <si>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</si>
  <si>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</si>
  <si>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</si>
  <si>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</si>
  <si>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</si>
  <si>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</si>
  <si>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</si>
  <si>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</si>
  <si>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</si>
  <si>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</si>
  <si>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</si>
  <si>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</si>
  <si>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</si>
  <si>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</si>
  <si>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</si>
  <si>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</si>
  <si>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</si>
  <si>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</si>
  <si>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</si>
  <si>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</si>
  <si>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</si>
  <si>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</si>
  <si>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</si>
  <si>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</si>
  <si>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</si>
  <si>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</si>
  <si>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</si>
  <si>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</si>
  <si>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</si>
  <si>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</si>
  <si>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</si>
  <si>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</si>
  <si>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</si>
  <si>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</si>
  <si>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</si>
  <si>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</si>
  <si>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</si>
  <si>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</si>
  <si>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</si>
  <si>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</si>
  <si>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</si>
  <si>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</si>
  <si>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</si>
  <si>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</si>
  <si>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</si>
  <si>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</si>
  <si>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</si>
  <si>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</si>
  <si>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</si>
  <si>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</si>
  <si>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</si>
  <si>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</si>
  <si>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</si>
  <si>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</si>
  <si>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</si>
  <si>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</si>
  <si>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</si>
  <si>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</si>
  <si>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</si>
  <si>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</si>
  <si>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</si>
  <si>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</si>
  <si>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</si>
  <si>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</si>
  <si>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</si>
  <si>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</si>
  <si>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</si>
  <si>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</si>
  <si>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</si>
  <si>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</si>
  <si>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</si>
  <si>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</si>
  <si>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</si>
  <si>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</si>
  <si>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</si>
  <si>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</si>
  <si>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</si>
  <si>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</si>
  <si>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</si>
  <si>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</si>
  <si>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</si>
  <si>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</si>
  <si>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</si>
  <si>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</si>
  <si>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</si>
  <si>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</si>
  <si>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</si>
  <si>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</si>
  <si>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</si>
  <si>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</si>
  <si>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</si>
  <si>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</si>
  <si>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</si>
  <si>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</si>
  <si>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</si>
  <si>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</si>
  <si>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</si>
  <si>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</si>
  <si>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</si>
  <si>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</si>
  <si>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</si>
  <si>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</si>
  <si>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</si>
  <si>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</si>
  <si>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</si>
  <si>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</si>
  <si>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</si>
  <si>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</si>
  <si>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</si>
  <si>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</si>
  <si>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</si>
  <si>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</si>
  <si>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</si>
  <si>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</si>
  <si>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</si>
  <si>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</si>
  <si>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</si>
  <si>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</si>
  <si>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</si>
  <si>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</si>
  <si>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</si>
  <si>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</si>
  <si>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</si>
  <si>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</si>
  <si>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</si>
  <si>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</si>
  <si>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</si>
  <si>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</si>
  <si>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</si>
  <si>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</si>
  <si>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</si>
  <si>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</si>
  <si>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</si>
  <si>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</si>
  <si>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</si>
  <si>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</si>
  <si>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</si>
  <si>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</si>
  <si>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</si>
  <si>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</si>
  <si>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</si>
  <si>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</si>
  <si>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</si>
  <si>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</si>
  <si>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</si>
  <si>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</si>
  <si>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</si>
  <si>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</si>
  <si>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</si>
  <si>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</si>
  <si>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</si>
  <si>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</si>
  <si>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</si>
  <si>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</si>
  <si>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</si>
  <si>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</si>
  <si>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</si>
  <si>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</si>
  <si>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</si>
  <si>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</si>
  <si>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</si>
  <si>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</si>
  <si>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</si>
  <si>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</si>
  <si>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</si>
  <si>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</si>
  <si>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</si>
  <si>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</si>
  <si>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</si>
  <si>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</si>
  <si>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</si>
  <si>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</si>
  <si>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</si>
  <si>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</si>
  <si>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</si>
  <si>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</si>
  <si>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</si>
  <si>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</si>
  <si>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</si>
  <si>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</si>
  <si>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</si>
  <si>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</si>
  <si>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</si>
  <si>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</si>
  <si>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</si>
  <si>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</si>
  <si>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</si>
  <si>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</si>
  <si>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</si>
  <si>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</si>
  <si>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</si>
  <si>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</si>
  <si>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</si>
  <si>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</si>
  <si>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</si>
  <si>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</si>
  <si>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</si>
  <si>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</si>
  <si>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</si>
  <si>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</si>
  <si>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</si>
  <si>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</si>
  <si>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</si>
  <si>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</si>
  <si>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</si>
  <si>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</si>
  <si>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</si>
  <si>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</si>
  <si>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</si>
  <si>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</si>
  <si>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</si>
  <si>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</si>
  <si>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</si>
  <si>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</si>
  <si>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</si>
  <si>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</si>
  <si>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</si>
  <si>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</si>
  <si>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</si>
  <si>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</si>
  <si>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</si>
  <si>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</si>
  <si>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</si>
  <si>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</si>
  <si>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</si>
  <si>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</si>
  <si>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</si>
  <si>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</si>
  <si>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</si>
  <si>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</si>
  <si>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</si>
  <si>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</si>
  <si>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</si>
  <si>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</si>
  <si>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</si>
  <si>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</si>
  <si>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</si>
  <si>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</si>
  <si>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</si>
  <si>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</si>
  <si>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</si>
  <si>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</si>
  <si>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</si>
  <si>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</si>
  <si>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</si>
  <si>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</si>
  <si>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</si>
  <si>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</si>
  <si>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</si>
  <si>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</si>
  <si>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</si>
  <si>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</si>
  <si>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</si>
  <si>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</si>
  <si>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</si>
  <si>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</si>
  <si>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</si>
  <si>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</si>
  <si>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</si>
  <si>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</si>
  <si>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</si>
  <si>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</si>
  <si>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</si>
  <si>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</si>
  <si>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</si>
  <si>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</si>
  <si>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</si>
  <si>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</si>
  <si>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</si>
  <si>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</si>
  <si>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</si>
  <si>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</si>
  <si>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</si>
  <si>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</si>
  <si>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</si>
  <si>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</si>
  <si>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</si>
  <si>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</si>
  <si>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</si>
  <si>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</si>
  <si>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</si>
  <si>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</si>
  <si>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</si>
  <si>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</si>
  <si>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</si>
  <si>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</si>
  <si>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</si>
  <si>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</si>
  <si>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</si>
  <si>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</si>
  <si>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</si>
  <si>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</si>
  <si>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</si>
  <si>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</si>
  <si>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</si>
  <si>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</si>
  <si>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</si>
  <si>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</si>
  <si>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</si>
  <si>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</si>
  <si>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</si>
  <si>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</si>
  <si>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</si>
  <si>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</si>
  <si>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</si>
  <si>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</si>
  <si>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</si>
  <si>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</si>
  <si>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</si>
  <si>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</si>
  <si>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</si>
  <si>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</si>
  <si>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</si>
  <si>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</si>
  <si>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</si>
  <si>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</si>
  <si>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</si>
  <si>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</si>
  <si>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</si>
  <si>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</si>
  <si>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</si>
  <si>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</si>
  <si>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</si>
  <si>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</si>
  <si>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</si>
  <si>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</si>
  <si>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</si>
  <si>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</si>
  <si>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</si>
  <si>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</si>
  <si>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</si>
  <si>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</si>
  <si>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</si>
  <si>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</si>
  <si>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</si>
  <si>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</si>
  <si>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</si>
  <si>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</si>
  <si>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</si>
  <si>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</si>
  <si>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</si>
  <si>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</si>
  <si>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</si>
  <si>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</si>
  <si>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</si>
  <si>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</si>
  <si>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</si>
  <si>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</si>
  <si>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</si>
  <si>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</si>
  <si>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</si>
  <si>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</si>
  <si>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</si>
  <si>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</si>
  <si>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</si>
  <si>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</si>
  <si>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</si>
  <si>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</si>
  <si>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</si>
  <si>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</si>
  <si>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</si>
  <si>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</si>
  <si>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</si>
  <si>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</si>
  <si>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</si>
  <si>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</si>
  <si>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</si>
  <si>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</si>
  <si>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</si>
  <si>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</si>
  <si>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</si>
  <si>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</si>
  <si>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</si>
  <si>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</si>
  <si>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</si>
  <si>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</si>
  <si>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</si>
  <si>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</si>
  <si>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</si>
  <si>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</si>
  <si>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</si>
  <si>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</si>
  <si>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</si>
  <si>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</si>
  <si>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</si>
  <si>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</si>
  <si>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</si>
  <si>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</si>
  <si>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</si>
  <si>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</si>
  <si>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</si>
  <si>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</si>
  <si>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</si>
  <si>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</si>
  <si>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</si>
  <si>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</si>
  <si>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</si>
  <si>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</si>
  <si>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</si>
  <si>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</si>
  <si>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</si>
  <si>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</si>
  <si>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</si>
  <si>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</si>
  <si>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</si>
  <si>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</si>
  <si>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</si>
  <si>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</si>
  <si>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</si>
  <si>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</si>
  <si>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</si>
  <si>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</si>
  <si>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</si>
  <si>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</si>
  <si>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</si>
  <si>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</si>
  <si>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</si>
  <si>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</si>
  <si>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</si>
  <si>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</si>
  <si>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</si>
  <si>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</si>
  <si>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</si>
  <si>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</si>
  <si>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</si>
  <si>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</si>
  <si>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</si>
  <si>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</si>
  <si>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</si>
  <si>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</si>
  <si>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</si>
  <si>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</si>
  <si>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</si>
  <si>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</si>
  <si>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</si>
  <si>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</si>
  <si>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</si>
  <si>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</si>
  <si>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</si>
  <si>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</si>
  <si>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</si>
  <si>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</si>
  <si>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</si>
  <si>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</si>
  <si>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</si>
  <si>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</si>
  <si>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</si>
  <si>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</si>
  <si>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</si>
  <si>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</si>
  <si>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</si>
  <si>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</si>
  <si>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</si>
  <si>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</si>
  <si>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</si>
  <si>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</si>
  <si>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</si>
  <si>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</si>
  <si>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</si>
  <si>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</si>
  <si>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</si>
  <si>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</si>
  <si>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</si>
  <si>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</si>
  <si>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</si>
  <si>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</si>
  <si>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</si>
  <si>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</si>
  <si>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</si>
  <si>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</si>
  <si>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</si>
  <si>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</si>
  <si>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</si>
  <si>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</si>
  <si>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</si>
  <si>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</si>
  <si>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</si>
  <si>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</si>
  <si>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</si>
  <si>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</si>
  <si>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</si>
  <si>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</si>
  <si>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</si>
  <si>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</si>
  <si>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</si>
  <si>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</si>
  <si>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</si>
  <si>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</si>
  <si>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</si>
  <si>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</si>
  <si>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</si>
  <si>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</si>
  <si>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</si>
  <si>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</si>
  <si>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</si>
  <si>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</si>
  <si>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</si>
  <si>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</si>
  <si>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</si>
  <si>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</si>
  <si>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</si>
  <si>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</si>
  <si>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</si>
  <si>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</si>
  <si>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</si>
  <si>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</si>
  <si>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</si>
  <si>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</si>
  <si>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</si>
  <si>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</si>
  <si>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</si>
  <si>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</si>
  <si>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</si>
  <si>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</si>
  <si>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</si>
  <si>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</si>
  <si>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</si>
  <si>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</si>
  <si>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</si>
  <si>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</si>
  <si>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</si>
  <si>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</si>
  <si>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</si>
  <si>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</si>
  <si>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</si>
  <si>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</si>
  <si>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</si>
  <si>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</si>
  <si>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</si>
  <si>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</si>
  <si>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</si>
  <si>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</si>
  <si>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</si>
  <si>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</si>
  <si>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</si>
  <si>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</si>
  <si>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</si>
  <si>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</si>
  <si>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</si>
  <si>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</si>
  <si>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</si>
  <si>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</si>
  <si>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</si>
  <si>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</si>
  <si>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</si>
  <si>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</si>
  <si>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</si>
  <si>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</si>
  <si>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</si>
  <si>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</si>
  <si>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</si>
  <si>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</si>
  <si>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</si>
  <si>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</si>
  <si>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</si>
  <si>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</si>
  <si>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</si>
  <si>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</si>
  <si>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</si>
  <si>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</si>
  <si>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</si>
  <si>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</si>
  <si>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</si>
  <si>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</si>
  <si>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</si>
  <si>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</si>
  <si>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</si>
  <si>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</si>
  <si>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</si>
  <si>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</si>
  <si>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</si>
  <si>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</si>
  <si>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</si>
  <si>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</si>
  <si>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</si>
  <si>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</si>
  <si>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</si>
  <si>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</si>
  <si>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</si>
  <si>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</si>
  <si>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</si>
  <si>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</si>
  <si>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</si>
  <si>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</si>
  <si>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</si>
  <si>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</si>
  <si>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</si>
  <si>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</si>
  <si>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</si>
  <si>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</si>
  <si>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</si>
  <si>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</si>
  <si>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</si>
  <si>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</si>
  <si>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</si>
  <si>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</si>
  <si>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</si>
  <si>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</si>
  <si>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</si>
  <si>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</si>
  <si>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</si>
  <si>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</si>
  <si>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</si>
  <si>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</si>
  <si>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</si>
  <si>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</si>
  <si>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</si>
  <si>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</si>
  <si>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</si>
  <si>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</si>
  <si>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</si>
  <si>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</si>
  <si>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</si>
  <si>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</si>
  <si>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</si>
  <si>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</si>
  <si>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</si>
  <si>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</si>
  <si>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</si>
  <si>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</si>
  <si>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</si>
  <si>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</si>
  <si>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</si>
  <si>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</si>
  <si>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</si>
  <si>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</si>
  <si>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</si>
  <si>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</si>
  <si>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</si>
  <si>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</si>
  <si>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</si>
  <si>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</si>
  <si>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</si>
  <si>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</si>
  <si>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</si>
  <si>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</si>
  <si>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</si>
  <si>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</si>
  <si>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</si>
  <si>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</si>
  <si>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</si>
  <si>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</si>
  <si>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</si>
  <si>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</si>
  <si>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</si>
  <si>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</si>
  <si>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</si>
  <si>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</si>
  <si>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</si>
  <si>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</si>
  <si>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</si>
  <si>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</si>
  <si>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</si>
  <si>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</si>
  <si>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</si>
  <si>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</si>
  <si>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</si>
  <si>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</si>
  <si>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</si>
  <si>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</si>
  <si>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</si>
  <si>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</si>
  <si>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</si>
  <si>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</si>
  <si>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</si>
  <si>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</si>
  <si>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</si>
  <si>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</si>
  <si>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</si>
  <si>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</si>
  <si>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</si>
  <si>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</si>
  <si>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</si>
  <si>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</si>
  <si>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</si>
  <si>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</si>
  <si>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</si>
  <si>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</si>
  <si>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</si>
  <si>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</si>
  <si>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</si>
  <si>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</si>
  <si>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</si>
  <si>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</si>
  <si>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</si>
  <si>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</si>
  <si>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</si>
  <si>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</si>
  <si>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</si>
  <si>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</si>
  <si>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</si>
  <si>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</si>
  <si>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</si>
  <si>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</si>
  <si>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</si>
  <si>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</si>
  <si>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</si>
  <si>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</si>
  <si>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</si>
  <si>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</si>
  <si>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</si>
  <si>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</si>
  <si>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</si>
  <si>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</si>
  <si>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</si>
  <si>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</si>
  <si>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</si>
  <si>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</si>
  <si>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</si>
  <si>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</si>
  <si>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</si>
  <si>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</si>
  <si>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</si>
  <si>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</si>
  <si>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</si>
  <si>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</si>
  <si>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</si>
  <si>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</si>
  <si>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</si>
  <si>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</si>
  <si>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</si>
  <si>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</si>
  <si>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</si>
  <si>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</si>
  <si>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</si>
  <si>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</si>
  <si>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</si>
  <si>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</si>
  <si>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</si>
  <si>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</si>
  <si>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</si>
  <si>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</si>
  <si>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</si>
  <si>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</si>
  <si>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</si>
  <si>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</si>
  <si>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</si>
  <si>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</si>
  <si>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</si>
  <si>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</si>
  <si>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</si>
  <si>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</si>
  <si>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</si>
  <si>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</si>
  <si>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</si>
  <si>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</si>
  <si>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</si>
  <si>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</si>
  <si>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</si>
  <si>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</si>
  <si>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</si>
  <si>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</si>
  <si>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</si>
  <si>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</si>
  <si>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</si>
  <si>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</si>
  <si>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</si>
  <si>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</si>
  <si>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</si>
  <si>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</si>
  <si>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</si>
  <si>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</si>
  <si>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</si>
  <si>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</si>
  <si>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</si>
  <si>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</si>
  <si>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</si>
  <si>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</si>
  <si>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</si>
  <si>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</si>
  <si>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</si>
  <si>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</si>
  <si>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</si>
  <si>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</si>
  <si>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</si>
  <si>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</si>
  <si>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</si>
  <si>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</si>
  <si>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</si>
  <si>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</si>
  <si>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</si>
  <si>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</si>
  <si>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</si>
  <si>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</si>
  <si>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</si>
  <si>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</si>
  <si>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</si>
  <si>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</si>
  <si>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</si>
  <si>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</si>
  <si>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</si>
  <si>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</si>
  <si>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</si>
  <si>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</si>
  <si>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</si>
  <si>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</si>
  <si>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</si>
  <si>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</si>
  <si>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</si>
  <si>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</si>
  <si>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</si>
  <si>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</si>
  <si>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</si>
  <si>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</si>
  <si>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</si>
  <si>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</si>
  <si>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</si>
  <si>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</si>
  <si>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</si>
  <si>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</si>
  <si>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</si>
  <si>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</si>
  <si>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</si>
  <si>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</si>
  <si>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</si>
  <si>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</si>
  <si>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</si>
  <si>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</si>
  <si>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</si>
  <si>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</si>
  <si>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</si>
  <si>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</si>
  <si>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</si>
  <si>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</si>
  <si>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</si>
  <si>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</si>
  <si>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</si>
  <si>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</si>
  <si>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</si>
  <si>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</si>
  <si>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</si>
  <si>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</si>
  <si>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</si>
  <si>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</si>
  <si>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</si>
  <si>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</si>
  <si>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</si>
  <si>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</si>
  <si>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</si>
  <si>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</si>
  <si>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</si>
  <si>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</si>
  <si>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</si>
  <si>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</si>
  <si>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</si>
  <si>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</si>
  <si>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</si>
  <si>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</si>
  <si>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</si>
  <si>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</si>
  <si>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</si>
  <si>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</si>
  <si>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</si>
  <si>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</si>
  <si>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</si>
  <si>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</si>
  <si>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</si>
  <si>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</si>
  <si>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</si>
  <si>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</si>
  <si>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</si>
  <si>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</si>
  <si>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</si>
  <si>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</si>
  <si>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</si>
  <si>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</si>
  <si>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</si>
  <si>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</si>
  <si>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</si>
  <si>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</si>
  <si>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</si>
  <si>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</si>
  <si>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</si>
  <si>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</si>
  <si>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</si>
  <si>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</si>
  <si>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</si>
  <si>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</si>
  <si>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</si>
  <si>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</si>
  <si>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</si>
  <si>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</si>
  <si>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</si>
  <si>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</si>
  <si>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</si>
  <si>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</si>
  <si>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</si>
  <si>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</si>
  <si>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</si>
  <si>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</si>
  <si>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</si>
  <si>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</si>
  <si>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</si>
  <si>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</si>
  <si>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</si>
  <si>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</si>
  <si>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</si>
  <si>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</si>
  <si>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</si>
  <si>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</si>
  <si>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</si>
  <si>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</si>
  <si>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</si>
  <si>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</si>
  <si>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</si>
  <si>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</si>
  <si>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</si>
  <si>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</si>
  <si>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</si>
  <si>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</si>
  <si>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</si>
  <si>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</si>
  <si>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</si>
  <si>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</si>
  <si>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</si>
  <si>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</si>
  <si>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</si>
  <si>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</si>
  <si>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</si>
  <si>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</si>
  <si>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</si>
  <si>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</si>
  <si>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</si>
  <si>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</si>
  <si>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</si>
  <si>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</si>
  <si>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</si>
  <si>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</si>
  <si>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</si>
  <si>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</si>
  <si>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</si>
  <si>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</si>
  <si>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</si>
  <si>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</si>
  <si>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</si>
  <si>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</si>
  <si>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</si>
  <si>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</si>
  <si>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</si>
  <si>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</si>
  <si>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</si>
  <si>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</si>
  <si>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</si>
  <si>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</si>
  <si>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</si>
  <si>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</si>
  <si>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</si>
  <si>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</si>
  <si>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</si>
  <si>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</si>
  <si>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</si>
  <si>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</si>
  <si>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</si>
  <si>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</si>
  <si>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</si>
  <si>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</si>
  <si>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</si>
  <si>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</si>
  <si>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</si>
  <si>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</si>
  <si>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</si>
  <si>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</si>
  <si>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</si>
  <si>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</si>
  <si>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</si>
  <si>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</si>
  <si>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</si>
  <si>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</si>
  <si>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</si>
  <si>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</si>
  <si>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</si>
  <si>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</si>
  <si>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</si>
  <si>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</si>
  <si>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</si>
  <si>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</si>
  <si>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</si>
  <si>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</si>
  <si>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</si>
  <si>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</si>
  <si>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</si>
  <si>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</si>
  <si>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</si>
  <si>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</si>
  <si>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</si>
  <si>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</si>
  <si>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</si>
  <si>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</si>
  <si>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</si>
  <si>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</si>
  <si>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</si>
  <si>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</si>
  <si>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</si>
  <si>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</si>
  <si>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</si>
  <si>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</si>
  <si>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</si>
  <si>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</si>
  <si>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</si>
  <si>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</si>
  <si>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</si>
  <si>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</si>
  <si>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</si>
  <si>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</si>
  <si>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</si>
  <si>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</si>
  <si>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</si>
  <si>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</si>
  <si>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</si>
  <si>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</si>
  <si>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</si>
  <si>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</si>
  <si>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</si>
  <si>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</si>
  <si>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</si>
  <si>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</si>
  <si>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</si>
  <si>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</si>
  <si>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</si>
  <si>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</si>
  <si>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</si>
  <si>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</si>
  <si>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</si>
  <si>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</si>
  <si>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</si>
  <si>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</si>
  <si>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</si>
  <si>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</si>
  <si>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</si>
  <si>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</si>
  <si>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</si>
  <si>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</si>
  <si>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</si>
  <si>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</si>
  <si>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</si>
  <si>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</si>
  <si>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</si>
  <si>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</si>
  <si>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</si>
  <si>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</si>
  <si>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</si>
  <si>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</si>
  <si>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</si>
  <si>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</si>
  <si>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</si>
  <si>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</si>
  <si>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</si>
  <si>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</si>
  <si>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</si>
  <si>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</si>
  <si>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</si>
  <si>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</si>
  <si>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</si>
  <si>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</si>
  <si>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</si>
  <si>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</si>
  <si>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</si>
  <si>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</si>
  <si>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</si>
  <si>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</si>
  <si>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</si>
  <si>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</si>
  <si>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</si>
  <si>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</si>
  <si>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</si>
  <si>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</si>
  <si>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</si>
  <si>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</si>
  <si>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</si>
  <si>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</si>
  <si>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</si>
  <si>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</si>
  <si>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</si>
  <si>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</si>
  <si>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</si>
  <si>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</si>
  <si>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</si>
  <si>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</si>
  <si>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</si>
  <si>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</si>
  <si>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</si>
  <si>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</si>
  <si>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</si>
  <si>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</si>
  <si>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</si>
  <si>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</si>
  <si>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</si>
  <si>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</si>
  <si>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</si>
  <si>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</si>
  <si>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</si>
  <si>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</si>
  <si>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</si>
  <si>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</si>
  <si>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</si>
  <si>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</si>
  <si>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</si>
  <si>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</si>
  <si>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</si>
  <si>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</si>
  <si>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</si>
  <si>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</si>
  <si>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</si>
  <si>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</si>
  <si>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</si>
  <si>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</si>
  <si>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</si>
  <si>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</si>
  <si>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</si>
  <si>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</si>
  <si>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</si>
  <si>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</si>
  <si>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</si>
  <si>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</si>
  <si>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</si>
  <si>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</si>
  <si>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</si>
  <si>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</si>
  <si>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</si>
  <si>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</si>
  <si>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</si>
  <si>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</si>
  <si>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</si>
  <si>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</si>
  <si>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</si>
  <si>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</si>
  <si>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</si>
  <si>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</si>
  <si>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</si>
  <si>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</si>
  <si>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</si>
  <si>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</si>
  <si>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</si>
  <si>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</si>
  <si>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</si>
  <si>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</si>
  <si>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</si>
  <si>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</si>
  <si>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</si>
  <si>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</si>
  <si>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</si>
  <si>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</si>
  <si>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</si>
  <si>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</si>
  <si>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</si>
  <si>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</si>
  <si>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</si>
  <si>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</si>
  <si>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</si>
  <si>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</si>
  <si>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</si>
  <si>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</si>
  <si>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</si>
  <si>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</si>
  <si>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</si>
  <si>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</si>
  <si>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</si>
  <si>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</si>
  <si>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</si>
  <si>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</si>
  <si>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</si>
  <si>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</si>
  <si>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</si>
  <si>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</si>
  <si>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</si>
  <si>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</si>
  <si>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</si>
  <si>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</si>
  <si>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</si>
  <si>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</si>
  <si>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</si>
  <si>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</si>
  <si>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</si>
  <si>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</si>
  <si>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</si>
  <si>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</si>
  <si>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</si>
  <si>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</si>
  <si>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</si>
  <si>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</si>
  <si>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</si>
  <si>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</si>
  <si>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</si>
  <si>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</si>
  <si>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</si>
  <si>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</si>
  <si>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</si>
  <si>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</si>
  <si>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</si>
  <si>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</si>
  <si>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</si>
  <si>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</si>
  <si>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</si>
  <si>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</si>
  <si>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</si>
  <si>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</si>
  <si>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</si>
  <si>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</si>
  <si>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</si>
  <si>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</si>
  <si>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</si>
  <si>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</si>
  <si>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</si>
  <si>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</si>
  <si>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</si>
  <si>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</si>
  <si>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</si>
  <si>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</si>
  <si>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</si>
  <si>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</si>
  <si>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</si>
  <si>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</si>
  <si>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</si>
  <si>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</si>
  <si>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</si>
  <si>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</si>
  <si>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</si>
  <si>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</si>
  <si>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</si>
  <si>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</si>
  <si>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</si>
  <si>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</si>
  <si>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</si>
  <si>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</si>
  <si>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</si>
  <si>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</si>
  <si>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</si>
  <si>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</si>
  <si>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</si>
  <si>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</si>
  <si>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</si>
  <si>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</si>
  <si>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</si>
  <si>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</si>
  <si>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</si>
  <si>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</si>
  <si>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</si>
  <si>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</si>
  <si>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</si>
  <si>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</si>
  <si>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</si>
  <si>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</si>
  <si>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</si>
  <si>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</si>
  <si>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</si>
  <si>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</si>
  <si>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</si>
  <si>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</si>
  <si>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</si>
  <si>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</si>
  <si>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</si>
  <si>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</si>
  <si>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</si>
  <si>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</si>
  <si>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</si>
  <si>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</si>
  <si>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</si>
  <si>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</si>
  <si>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</si>
  <si>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</si>
  <si>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</si>
  <si>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</si>
  <si>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</si>
  <si>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</si>
  <si>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</si>
  <si>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</si>
  <si>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</si>
  <si>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</si>
  <si>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</si>
  <si>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</si>
  <si>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</si>
  <si>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</si>
  <si>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</si>
  <si>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</si>
  <si>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t>
  </si>
  <si>
    <t>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</si>
</sst>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K674" sqref="K674"/>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1373</v>
      </c>
      <c r="B2">
        <f>INDEX('School Tables'!$AH$3:$AH$213,MATCH('DOE25'!A2,'School Tables'!$AJ$3:$AJ$213,0))</f>
        <v>463</v>
      </c>
      <c r="C2">
        <f>INDEX('School Tables'!$AI$3:$AI$213,MATCH('DOE25'!A2,'School Tables'!$AJ$3:$AJ$213,0))</f>
        <v>463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407935.04</v>
      </c>
      <c r="G9" s="18">
        <v>0</v>
      </c>
      <c r="H9" s="18">
        <v>0</v>
      </c>
      <c r="I9" s="18">
        <v>0</v>
      </c>
      <c r="J9" s="13">
        <f>SUM(I440)</f>
        <v>0</v>
      </c>
      <c r="K9" s="23" t="s">
        <v>288</v>
      </c>
      <c r="L9" s="23" t="s">
        <v>288</v>
      </c>
      <c r="M9" s="8"/>
      <c r="N9" s="164"/>
    </row>
    <row r="10" spans="1:14" s="3" customFormat="1" ht="12.2" customHeight="1" x14ac:dyDescent="0.15">
      <c r="A10" s="1" t="s">
        <v>562</v>
      </c>
      <c r="B10" s="2" t="s">
        <v>289</v>
      </c>
      <c r="C10" s="6">
        <v>2</v>
      </c>
      <c r="D10" s="2" t="s">
        <v>428</v>
      </c>
      <c r="E10" s="6">
        <v>110</v>
      </c>
      <c r="F10" s="18">
        <v>0</v>
      </c>
      <c r="G10" s="18">
        <v>0</v>
      </c>
      <c r="H10" s="18">
        <v>0</v>
      </c>
      <c r="I10" s="18">
        <v>0</v>
      </c>
      <c r="J10" s="13">
        <f>SUM(I441)</f>
        <v>460313.22</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1185970.81+69832.62</f>
        <v>1255803.4300000002</v>
      </c>
      <c r="G12" s="18">
        <v>708593.72</v>
      </c>
      <c r="H12" s="18">
        <f>1116868.29</f>
        <v>1116868.29</v>
      </c>
      <c r="I12" s="18">
        <v>0</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0</v>
      </c>
      <c r="G13" s="18">
        <v>0</v>
      </c>
      <c r="H13" s="18">
        <v>0</v>
      </c>
      <c r="I13" s="18">
        <v>0</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220</v>
      </c>
      <c r="G14" s="18">
        <v>13047.91</v>
      </c>
      <c r="H14" s="18">
        <f>88569.25+56.33</f>
        <v>88625.58</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1663958.4700000002</v>
      </c>
      <c r="G19" s="38">
        <f>SUM(G9:G18)</f>
        <v>721641.63</v>
      </c>
      <c r="H19" s="38">
        <f>SUM(H9:H18)</f>
        <v>1205493.8700000001</v>
      </c>
      <c r="I19" s="38">
        <f>SUM(I9:I18)</f>
        <v>0</v>
      </c>
      <c r="J19" s="38">
        <f>SUM(J9:J18)</f>
        <v>460313.22</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f>1116868.29+105688.66</f>
        <v>1222556.95</v>
      </c>
      <c r="G22" s="18">
        <v>668594.68000000005</v>
      </c>
      <c r="H22" s="18">
        <f>1185969.88</f>
        <v>1185969.8799999999</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97291.74</v>
      </c>
      <c r="G24" s="18">
        <v>19730.990000000002</v>
      </c>
      <c r="H24" s="18">
        <f>19375.14+56.33</f>
        <v>19431.47</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f>295.44+3489.27+72294.53-10</f>
        <v>76069.240000000005</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v>7792.66</v>
      </c>
      <c r="H30" s="18">
        <v>0</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1395917.93</v>
      </c>
      <c r="G32" s="38">
        <f>SUM(G22:G31)</f>
        <v>696118.33000000007</v>
      </c>
      <c r="H32" s="38">
        <f>SUM(H22:H31)</f>
        <v>1205401.3499999999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0</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v>0</v>
      </c>
      <c r="G39" s="18">
        <v>0</v>
      </c>
      <c r="H39" s="18">
        <v>0</v>
      </c>
      <c r="I39" s="18">
        <v>0</v>
      </c>
      <c r="J39" s="13">
        <f>I459</f>
        <v>0</v>
      </c>
      <c r="K39" s="23" t="s">
        <v>288</v>
      </c>
      <c r="L39" s="23" t="s">
        <v>288</v>
      </c>
      <c r="M39" s="8"/>
      <c r="N39" s="164"/>
    </row>
    <row r="40" spans="1:14" s="3" customFormat="1" ht="12.2" customHeight="1" x14ac:dyDescent="0.15">
      <c r="A40" s="1" t="s">
        <v>856</v>
      </c>
      <c r="B40" s="6">
        <v>1</v>
      </c>
      <c r="C40" s="6">
        <v>27</v>
      </c>
      <c r="D40" s="2"/>
      <c r="E40" s="6"/>
      <c r="F40" s="23" t="s">
        <v>288</v>
      </c>
      <c r="G40" s="18">
        <v>0</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v>0</v>
      </c>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85001</v>
      </c>
      <c r="G44" s="18">
        <v>0</v>
      </c>
      <c r="H44" s="18">
        <v>0</v>
      </c>
      <c r="I44" s="18">
        <v>0</v>
      </c>
      <c r="J44" s="23" t="s">
        <v>288</v>
      </c>
      <c r="K44" s="23" t="s">
        <v>288</v>
      </c>
      <c r="L44" s="23" t="s">
        <v>288</v>
      </c>
      <c r="M44" s="8"/>
      <c r="N44" s="164"/>
    </row>
    <row r="45" spans="1:14" s="3" customFormat="1" ht="12.2" customHeight="1" x14ac:dyDescent="0.15">
      <c r="A45" s="1" t="s">
        <v>834</v>
      </c>
      <c r="B45" s="6">
        <v>1</v>
      </c>
      <c r="C45" s="6">
        <v>31</v>
      </c>
      <c r="D45" s="2"/>
      <c r="E45" s="6">
        <v>753</v>
      </c>
      <c r="F45" s="18">
        <v>0</v>
      </c>
      <c r="G45" s="18">
        <v>0</v>
      </c>
      <c r="H45" s="18">
        <v>92.74</v>
      </c>
      <c r="I45" s="18">
        <v>0</v>
      </c>
      <c r="J45" s="13">
        <f>I456</f>
        <v>0</v>
      </c>
      <c r="K45" s="23" t="s">
        <v>288</v>
      </c>
      <c r="L45" s="23" t="s">
        <v>288</v>
      </c>
      <c r="M45" s="8"/>
      <c r="N45" s="164"/>
    </row>
    <row r="46" spans="1:14" s="3" customFormat="1" ht="12.2" customHeight="1" x14ac:dyDescent="0.15">
      <c r="A46" s="1" t="s">
        <v>870</v>
      </c>
      <c r="B46" s="6">
        <v>1</v>
      </c>
      <c r="C46" s="6">
        <v>32</v>
      </c>
      <c r="D46" s="2"/>
      <c r="E46" s="6"/>
      <c r="F46" s="18">
        <v>121790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25523.3</v>
      </c>
      <c r="H48" s="18">
        <v>-0.22</v>
      </c>
      <c r="I48" s="18">
        <v>0</v>
      </c>
      <c r="J48" s="13">
        <f>SUM(I460)</f>
        <v>460313.22</v>
      </c>
      <c r="K48" s="23" t="s">
        <v>288</v>
      </c>
      <c r="L48" s="23" t="s">
        <v>288</v>
      </c>
      <c r="M48" s="8"/>
      <c r="N48" s="164"/>
    </row>
    <row r="49" spans="1:14" s="3" customFormat="1" ht="12.2" customHeight="1" x14ac:dyDescent="0.15">
      <c r="A49" s="1" t="s">
        <v>855</v>
      </c>
      <c r="B49" s="2" t="s">
        <v>289</v>
      </c>
      <c r="C49" s="6">
        <v>34</v>
      </c>
      <c r="D49" s="2"/>
      <c r="E49" s="6">
        <v>753</v>
      </c>
      <c r="F49" s="18">
        <v>0</v>
      </c>
      <c r="G49" s="18">
        <v>0</v>
      </c>
      <c r="H49" s="18">
        <v>0</v>
      </c>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f>51261.19-10001+121372-101382.65</f>
        <v>61249.540000000008</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268040.54000000004</v>
      </c>
      <c r="G51" s="38">
        <f>SUM(G35:G50)</f>
        <v>25523.3</v>
      </c>
      <c r="H51" s="38">
        <f>SUM(H35:H50)</f>
        <v>92.52</v>
      </c>
      <c r="I51" s="38">
        <f>SUM(I35:I50)</f>
        <v>0</v>
      </c>
      <c r="J51" s="38">
        <f>SUM(J35:J50)</f>
        <v>460313.22</v>
      </c>
      <c r="K51" s="42" t="s">
        <v>288</v>
      </c>
      <c r="L51" s="42" t="s">
        <v>288</v>
      </c>
      <c r="N51" s="130"/>
    </row>
    <row r="52" spans="1:14" s="3" customFormat="1" ht="12.2" customHeight="1" thickTop="1" x14ac:dyDescent="0.15">
      <c r="A52" s="35" t="s">
        <v>455</v>
      </c>
      <c r="B52" s="36" t="s">
        <v>289</v>
      </c>
      <c r="C52" s="6">
        <v>37</v>
      </c>
      <c r="D52" s="36" t="s">
        <v>653</v>
      </c>
      <c r="E52" s="36"/>
      <c r="F52" s="38">
        <f>F51+F32</f>
        <v>1663958.47</v>
      </c>
      <c r="G52" s="38">
        <f>G51+G32</f>
        <v>721641.63000000012</v>
      </c>
      <c r="H52" s="38">
        <f>H51+H32</f>
        <v>1205493.8699999999</v>
      </c>
      <c r="I52" s="38">
        <f>I51+I32</f>
        <v>0</v>
      </c>
      <c r="J52" s="38">
        <f>J51+J32</f>
        <v>460313.22</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4307852</v>
      </c>
      <c r="G57" s="18">
        <v>0</v>
      </c>
      <c r="H57" s="18">
        <v>0</v>
      </c>
      <c r="I57" s="18">
        <v>0</v>
      </c>
      <c r="J57" s="18">
        <v>0</v>
      </c>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4307852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135.36000000000001</v>
      </c>
      <c r="G96" s="18">
        <v>0</v>
      </c>
      <c r="H96" s="18">
        <v>0</v>
      </c>
      <c r="I96" s="18">
        <v>0</v>
      </c>
      <c r="J96" s="18">
        <v>426.79</v>
      </c>
      <c r="K96" s="23" t="s">
        <v>288</v>
      </c>
      <c r="L96" s="23" t="s">
        <v>288</v>
      </c>
      <c r="M96" s="8"/>
      <c r="N96" s="164"/>
    </row>
    <row r="97" spans="1:14" s="3" customFormat="1" ht="12.2" customHeight="1" x14ac:dyDescent="0.15">
      <c r="A97" s="1" t="s">
        <v>503</v>
      </c>
      <c r="B97" s="2" t="s">
        <v>315</v>
      </c>
      <c r="C97" s="6">
        <v>12</v>
      </c>
      <c r="D97" s="2" t="s">
        <v>430</v>
      </c>
      <c r="E97" s="6">
        <v>1600</v>
      </c>
      <c r="F97" s="23" t="s">
        <v>288</v>
      </c>
      <c r="G97" s="18">
        <f>47009.8+3439.15+4.85-27374.85+46.2+212.5+20+50+6721.6</f>
        <v>30129.250000000007</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f>1980+220</f>
        <v>2200</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8300-3</f>
        <v>8297</v>
      </c>
      <c r="G110" s="18">
        <v>0</v>
      </c>
      <c r="H110" s="18">
        <v>0</v>
      </c>
      <c r="I110" s="18">
        <v>0</v>
      </c>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10632.36</v>
      </c>
      <c r="G111" s="38">
        <f>SUM(G96:G110)</f>
        <v>30129.250000000007</v>
      </c>
      <c r="H111" s="38">
        <f>SUM(H96:H110)</f>
        <v>0</v>
      </c>
      <c r="I111" s="38">
        <f>SUM(I96:I110)</f>
        <v>0</v>
      </c>
      <c r="J111" s="38">
        <f>SUM(J96:J110)</f>
        <v>426.79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4318484.3600000003</v>
      </c>
      <c r="G112" s="38">
        <f>G60+G111</f>
        <v>30129.250000000007</v>
      </c>
      <c r="H112" s="38">
        <f>H60+H79+H94+H111</f>
        <v>0</v>
      </c>
      <c r="I112" s="38">
        <f>I60+I111</f>
        <v>0</v>
      </c>
      <c r="J112" s="38">
        <f>J60+J111</f>
        <v>426.79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727555.22</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563779</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2037.11</v>
      </c>
      <c r="G120" s="18">
        <v>0</v>
      </c>
      <c r="H120" s="18">
        <v>0</v>
      </c>
      <c r="I120" s="18">
        <v>0</v>
      </c>
      <c r="J120" s="18">
        <v>0</v>
      </c>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1293371.33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0</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760.87</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760.87</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v>0</v>
      </c>
      <c r="G137" s="18">
        <v>0</v>
      </c>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v>0</v>
      </c>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1293371.33</v>
      </c>
      <c r="G140" s="38">
        <f>G121+SUM(G136:G137)</f>
        <v>760.87</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21943.99</f>
        <v>21943.99</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9999.5+6297.47+1453.88+56.33</f>
        <v>17807.180000000004</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22212.9+8291.89</f>
        <v>30504.79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40684.61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0</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0</v>
      </c>
      <c r="G161" s="18">
        <v>6634.69</v>
      </c>
      <c r="H161" s="18">
        <v>0</v>
      </c>
      <c r="I161" s="18">
        <v>0</v>
      </c>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0</v>
      </c>
      <c r="G162" s="18">
        <v>0</v>
      </c>
      <c r="H162" s="18">
        <f>7316.61+133174.46</f>
        <v>140491.06999999998</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37139.480000000003</v>
      </c>
      <c r="H163" s="38">
        <f>SUM(H150:H162)</f>
        <v>220926.84999999998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37139.480000000003</v>
      </c>
      <c r="H170" s="38">
        <f>H147+H163+SUM(H164:H169)</f>
        <v>220926.84999999998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0</v>
      </c>
      <c r="H180" s="18"/>
      <c r="I180" s="18">
        <v>0</v>
      </c>
      <c r="J180" s="18">
        <v>75000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c r="I181" s="18">
        <v>0</v>
      </c>
      <c r="J181" s="18">
        <v>0</v>
      </c>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v>0</v>
      </c>
      <c r="H182" s="23" t="s">
        <v>288</v>
      </c>
      <c r="I182" s="18">
        <v>0</v>
      </c>
      <c r="J182" s="18">
        <v>0</v>
      </c>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c r="I183" s="23" t="s">
        <v>288</v>
      </c>
      <c r="J183" s="18">
        <v>0</v>
      </c>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75000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v>0</v>
      </c>
      <c r="H186" s="18"/>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c r="I192" s="18">
        <v>0</v>
      </c>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75000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5611855.6900000004</v>
      </c>
      <c r="G194" s="38">
        <f>G112+G140+G170+G193</f>
        <v>68029.600000000006</v>
      </c>
      <c r="H194" s="38">
        <f>H112+H140+H170+H193</f>
        <v>220926.84999999998</v>
      </c>
      <c r="I194" s="38">
        <f>I112+I140+I170+I193</f>
        <v>0</v>
      </c>
      <c r="J194" s="38">
        <f>J112+J140+J193</f>
        <v>75426.789999999994</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845583.14</v>
      </c>
      <c r="G198" s="18">
        <f>397857.9+29859.58+0.01+590.88</f>
        <v>428308.37000000005</v>
      </c>
      <c r="H198" s="18">
        <f>255+30000+16007.46+313.45+8229.82+10820.6</f>
        <v>65626.33</v>
      </c>
      <c r="I198" s="18">
        <v>42187.74</v>
      </c>
      <c r="J198" s="18">
        <v>31311.32</v>
      </c>
      <c r="K198" s="18">
        <v>3748</v>
      </c>
      <c r="L198" s="13">
        <f>SUM(F198:K198)</f>
        <v>1416764.9000000001</v>
      </c>
      <c r="M198" s="8"/>
      <c r="N198" s="164"/>
    </row>
    <row r="199" spans="1:14" s="3" customFormat="1" ht="12.2" customHeight="1" x14ac:dyDescent="0.15">
      <c r="A199" s="1" t="s">
        <v>439</v>
      </c>
      <c r="B199" s="2" t="s">
        <v>341</v>
      </c>
      <c r="C199" s="2" t="s">
        <v>291</v>
      </c>
      <c r="D199" s="2" t="s">
        <v>431</v>
      </c>
      <c r="E199" s="6">
        <v>1200</v>
      </c>
      <c r="F199" s="18">
        <v>315079.77</v>
      </c>
      <c r="G199" s="18">
        <v>117382.83</v>
      </c>
      <c r="H199" s="18">
        <f>15273.6+8480</f>
        <v>23753.599999999999</v>
      </c>
      <c r="I199" s="18">
        <v>1785.92</v>
      </c>
      <c r="J199" s="18">
        <v>1346.63</v>
      </c>
      <c r="K199" s="18">
        <v>0</v>
      </c>
      <c r="L199" s="13">
        <f>SUM(F199:K199)</f>
        <v>459348.75</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f>5459+1500</f>
        <v>6959</v>
      </c>
      <c r="G201" s="18">
        <f>1101.17+317.7</f>
        <v>1418.8700000000001</v>
      </c>
      <c r="H201" s="18">
        <v>0</v>
      </c>
      <c r="I201" s="18">
        <v>0</v>
      </c>
      <c r="J201" s="18">
        <v>0</v>
      </c>
      <c r="K201" s="18">
        <v>0</v>
      </c>
      <c r="L201" s="13">
        <f>SUM(F201:K201)</f>
        <v>8377.8700000000008</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64396.8+70598+75074</f>
        <v>210068.8</v>
      </c>
      <c r="G203" s="18">
        <f>26294.35+507.64+247.6+109.4+4339.84+12647.7+41388.97+32941.92</f>
        <v>118477.42</v>
      </c>
      <c r="H203" s="18">
        <v>56282.239999999998</v>
      </c>
      <c r="I203" s="18">
        <f>754.61+270.95+186.8</f>
        <v>1212.3599999999999</v>
      </c>
      <c r="J203" s="18">
        <v>825</v>
      </c>
      <c r="K203" s="18">
        <v>0</v>
      </c>
      <c r="L203" s="13">
        <f t="shared" ref="L203:L209" si="0">SUM(F203:K203)</f>
        <v>386865.81999999995</v>
      </c>
      <c r="M203" s="8"/>
      <c r="N203" s="164"/>
    </row>
    <row r="204" spans="1:14" s="3" customFormat="1" ht="12.2" customHeight="1" x14ac:dyDescent="0.15">
      <c r="A204" s="1" t="s">
        <v>443</v>
      </c>
      <c r="B204" s="2" t="s">
        <v>341</v>
      </c>
      <c r="C204" s="2" t="s">
        <v>295</v>
      </c>
      <c r="D204" s="2" t="s">
        <v>431</v>
      </c>
      <c r="E204" s="6">
        <v>2200</v>
      </c>
      <c r="F204" s="18">
        <v>59989.56</v>
      </c>
      <c r="G204" s="18">
        <v>5938.34</v>
      </c>
      <c r="H204" s="18">
        <v>2545.79</v>
      </c>
      <c r="I204" s="18">
        <v>6099</v>
      </c>
      <c r="J204" s="18">
        <v>1094.33</v>
      </c>
      <c r="K204" s="18">
        <v>1842.05</v>
      </c>
      <c r="L204" s="13">
        <f t="shared" si="0"/>
        <v>77509.069999999992</v>
      </c>
      <c r="M204" s="8"/>
      <c r="N204" s="164"/>
    </row>
    <row r="205" spans="1:14" s="3" customFormat="1" ht="12.2" customHeight="1" x14ac:dyDescent="0.15">
      <c r="A205" s="1" t="s">
        <v>444</v>
      </c>
      <c r="B205" s="2" t="s">
        <v>341</v>
      </c>
      <c r="C205" s="2" t="s">
        <v>296</v>
      </c>
      <c r="D205" s="2" t="s">
        <v>431</v>
      </c>
      <c r="E205" s="6">
        <v>2300</v>
      </c>
      <c r="F205" s="18">
        <f>5860+1500+120</f>
        <v>7480</v>
      </c>
      <c r="G205" s="18">
        <f>448.18+306.61</f>
        <v>754.79</v>
      </c>
      <c r="H205" s="18">
        <f>2078.57+20250+4148.5+203997</f>
        <v>230474.07</v>
      </c>
      <c r="I205" s="18">
        <v>1960.03</v>
      </c>
      <c r="J205" s="18">
        <v>0</v>
      </c>
      <c r="K205" s="18">
        <f>3259.3+806.65</f>
        <v>4065.9500000000003</v>
      </c>
      <c r="L205" s="13">
        <f t="shared" si="0"/>
        <v>244734.84000000003</v>
      </c>
      <c r="M205" s="8"/>
      <c r="N205" s="164"/>
    </row>
    <row r="206" spans="1:14" s="3" customFormat="1" ht="12.2" customHeight="1" x14ac:dyDescent="0.15">
      <c r="A206" s="1" t="s">
        <v>445</v>
      </c>
      <c r="B206" s="2" t="s">
        <v>341</v>
      </c>
      <c r="C206" s="2" t="s">
        <v>297</v>
      </c>
      <c r="D206" s="2" t="s">
        <v>431</v>
      </c>
      <c r="E206" s="6">
        <v>2400</v>
      </c>
      <c r="F206" s="18">
        <v>142301.78</v>
      </c>
      <c r="G206" s="18">
        <v>71424.179999999993</v>
      </c>
      <c r="H206" s="18">
        <v>2480.9</v>
      </c>
      <c r="I206" s="18">
        <v>2028.99</v>
      </c>
      <c r="J206" s="18">
        <v>350</v>
      </c>
      <c r="K206" s="18">
        <v>710</v>
      </c>
      <c r="L206" s="13">
        <f t="shared" si="0"/>
        <v>219295.84999999998</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125096.18</v>
      </c>
      <c r="G208" s="18">
        <v>76391.22</v>
      </c>
      <c r="H208" s="18">
        <f>10271+413.11+12613.7+57945.88+9382.79+56255</f>
        <v>146881.48000000001</v>
      </c>
      <c r="I208" s="18">
        <f>17478.86+49766.5</f>
        <v>67245.36</v>
      </c>
      <c r="J208" s="18">
        <v>29557.73</v>
      </c>
      <c r="K208" s="18">
        <v>0</v>
      </c>
      <c r="L208" s="13">
        <f t="shared" si="0"/>
        <v>445171.97</v>
      </c>
      <c r="M208" s="8"/>
      <c r="N208" s="164"/>
    </row>
    <row r="209" spans="1:14" s="3" customFormat="1" ht="12.2" customHeight="1" x14ac:dyDescent="0.15">
      <c r="A209" s="1" t="s">
        <v>448</v>
      </c>
      <c r="B209" s="2" t="s">
        <v>341</v>
      </c>
      <c r="C209" s="2" t="s">
        <v>300</v>
      </c>
      <c r="D209" s="2" t="s">
        <v>431</v>
      </c>
      <c r="E209" s="6">
        <v>2700</v>
      </c>
      <c r="F209" s="18">
        <v>0</v>
      </c>
      <c r="G209" s="18">
        <v>0</v>
      </c>
      <c r="H209" s="18">
        <f>118153+121885+1475.66</f>
        <v>241513.66</v>
      </c>
      <c r="I209" s="18">
        <v>0</v>
      </c>
      <c r="J209" s="18">
        <v>0</v>
      </c>
      <c r="K209" s="18">
        <v>0</v>
      </c>
      <c r="L209" s="13">
        <f t="shared" si="0"/>
        <v>241513.66</v>
      </c>
      <c r="M209" s="8"/>
      <c r="N209" s="164"/>
    </row>
    <row r="210" spans="1:14" s="3" customFormat="1" ht="12.2" customHeight="1" x14ac:dyDescent="0.15">
      <c r="A210" s="1" t="s">
        <v>449</v>
      </c>
      <c r="B210" s="2" t="s">
        <v>341</v>
      </c>
      <c r="C210" s="2" t="s">
        <v>343</v>
      </c>
      <c r="D210" s="2" t="s">
        <v>431</v>
      </c>
      <c r="E210" s="6">
        <v>2800</v>
      </c>
      <c r="F210" s="18">
        <v>0</v>
      </c>
      <c r="G210" s="18">
        <v>0</v>
      </c>
      <c r="H210" s="18">
        <v>0</v>
      </c>
      <c r="I210" s="18">
        <v>0</v>
      </c>
      <c r="J210" s="18">
        <v>945.93</v>
      </c>
      <c r="K210" s="18">
        <v>6721.6</v>
      </c>
      <c r="L210" s="13">
        <f>SUM(F210:K210)</f>
        <v>7667.5300000000007</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1712558.2300000002</v>
      </c>
      <c r="G212" s="38">
        <f t="shared" si="1"/>
        <v>820096.02</v>
      </c>
      <c r="H212" s="38">
        <f t="shared" si="1"/>
        <v>769558.07000000007</v>
      </c>
      <c r="I212" s="38">
        <f t="shared" si="1"/>
        <v>122519.4</v>
      </c>
      <c r="J212" s="38">
        <f t="shared" si="1"/>
        <v>65430.939999999995</v>
      </c>
      <c r="K212" s="38">
        <f t="shared" si="1"/>
        <v>17087.599999999999</v>
      </c>
      <c r="L212" s="38">
        <f t="shared" si="1"/>
        <v>3507250.2600000002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0</v>
      </c>
      <c r="G216" s="18">
        <v>0</v>
      </c>
      <c r="H216" s="18">
        <f>395342.5</f>
        <v>395342.5</v>
      </c>
      <c r="I216" s="18">
        <v>0</v>
      </c>
      <c r="J216" s="18">
        <v>0</v>
      </c>
      <c r="K216" s="18">
        <v>0</v>
      </c>
      <c r="L216" s="13">
        <f>SUM(F216:K216)</f>
        <v>395342.5</v>
      </c>
      <c r="M216" s="8"/>
      <c r="N216" s="164"/>
    </row>
    <row r="217" spans="1:14" s="3" customFormat="1" ht="12.2" customHeight="1" x14ac:dyDescent="0.15">
      <c r="A217" s="1" t="s">
        <v>439</v>
      </c>
      <c r="B217" s="2" t="s">
        <v>346</v>
      </c>
      <c r="C217" s="2" t="s">
        <v>291</v>
      </c>
      <c r="D217" s="2" t="s">
        <v>431</v>
      </c>
      <c r="E217" s="6">
        <v>1200</v>
      </c>
      <c r="F217" s="18">
        <v>0</v>
      </c>
      <c r="G217" s="18">
        <v>0</v>
      </c>
      <c r="H217" s="18">
        <f>21816.46+203824.57+120093.1</f>
        <v>345734.13</v>
      </c>
      <c r="I217" s="18">
        <v>0</v>
      </c>
      <c r="J217" s="18">
        <v>0</v>
      </c>
      <c r="K217" s="18">
        <v>0</v>
      </c>
      <c r="L217" s="13">
        <f>SUM(F217:K217)</f>
        <v>345734.13</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3577.6</f>
        <v>3577.6</v>
      </c>
      <c r="G221" s="18">
        <f>1460.81+28.18+13.8+6.1+241.14+702.52</f>
        <v>2452.5499999999997</v>
      </c>
      <c r="H221" s="18">
        <v>0</v>
      </c>
      <c r="I221" s="18">
        <v>0</v>
      </c>
      <c r="J221" s="18">
        <v>0</v>
      </c>
      <c r="K221" s="18">
        <v>0</v>
      </c>
      <c r="L221" s="13">
        <f t="shared" ref="L221:L227" si="2">SUM(F221:K221)</f>
        <v>6030.15</v>
      </c>
      <c r="M221" s="8"/>
      <c r="N221" s="1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4"/>
    </row>
    <row r="227" spans="1:14" s="3" customFormat="1" ht="12.2" customHeight="1" x14ac:dyDescent="0.15">
      <c r="A227" s="1" t="s">
        <v>448</v>
      </c>
      <c r="B227" s="2" t="s">
        <v>346</v>
      </c>
      <c r="C227" s="2" t="s">
        <v>300</v>
      </c>
      <c r="D227" s="2" t="s">
        <v>431</v>
      </c>
      <c r="E227" s="6">
        <v>2700</v>
      </c>
      <c r="F227" s="18">
        <v>0</v>
      </c>
      <c r="G227" s="18">
        <v>0</v>
      </c>
      <c r="H227" s="18">
        <f>37809+8691.82+58.95</f>
        <v>46559.77</v>
      </c>
      <c r="I227" s="18">
        <v>0</v>
      </c>
      <c r="J227" s="18">
        <v>0</v>
      </c>
      <c r="K227" s="18">
        <v>0</v>
      </c>
      <c r="L227" s="13">
        <f t="shared" si="2"/>
        <v>46559.77</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3577.6</v>
      </c>
      <c r="G230" s="38">
        <f>SUM(G216:G229)</f>
        <v>2452.5499999999997</v>
      </c>
      <c r="H230" s="38">
        <f>SUM(H216:H229)</f>
        <v>787636.4</v>
      </c>
      <c r="I230" s="38">
        <f>SUM(I216:I229)</f>
        <v>0</v>
      </c>
      <c r="J230" s="38">
        <f>SUM(J216:J229)</f>
        <v>0</v>
      </c>
      <c r="K230" s="38">
        <f t="shared" si="3"/>
        <v>0</v>
      </c>
      <c r="L230" s="38">
        <f t="shared" si="3"/>
        <v>793666.55</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0</v>
      </c>
      <c r="G234" s="18">
        <v>0</v>
      </c>
      <c r="H234" s="18">
        <v>1196405.76</v>
      </c>
      <c r="I234" s="18">
        <v>0</v>
      </c>
      <c r="J234" s="18">
        <v>0</v>
      </c>
      <c r="K234" s="18">
        <v>0</v>
      </c>
      <c r="L234" s="13">
        <f>SUM(F234:K234)</f>
        <v>1196405.76</v>
      </c>
      <c r="M234" s="8"/>
      <c r="N234" s="164"/>
    </row>
    <row r="235" spans="1:14" s="3" customFormat="1" ht="12.2" customHeight="1" x14ac:dyDescent="0.15">
      <c r="A235" s="1" t="s">
        <v>439</v>
      </c>
      <c r="B235" s="2" t="s">
        <v>350</v>
      </c>
      <c r="C235" s="2" t="s">
        <v>291</v>
      </c>
      <c r="D235" s="2" t="s">
        <v>431</v>
      </c>
      <c r="E235" s="6">
        <v>1200</v>
      </c>
      <c r="F235" s="18">
        <v>0</v>
      </c>
      <c r="G235" s="18">
        <v>0</v>
      </c>
      <c r="H235" s="18">
        <f>108726.37+22200.1</f>
        <v>130926.47</v>
      </c>
      <c r="I235" s="18">
        <v>0</v>
      </c>
      <c r="J235" s="18">
        <v>0</v>
      </c>
      <c r="K235" s="18">
        <v>0</v>
      </c>
      <c r="L235" s="13">
        <f>SUM(F235:K235)</f>
        <v>130926.47</v>
      </c>
      <c r="M235" s="8"/>
      <c r="N235" s="1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3577.6</v>
      </c>
      <c r="G239" s="18">
        <v>2452.5500000000002</v>
      </c>
      <c r="H239" s="18">
        <v>0</v>
      </c>
      <c r="I239" s="18">
        <v>0</v>
      </c>
      <c r="J239" s="18">
        <v>0</v>
      </c>
      <c r="K239" s="18">
        <v>0</v>
      </c>
      <c r="L239" s="13">
        <f t="shared" ref="L239:L245" si="4">SUM(F239:K239)</f>
        <v>6030.15</v>
      </c>
      <c r="M239" s="8"/>
      <c r="N239" s="1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4"/>
    </row>
    <row r="245" spans="1:14" s="3" customFormat="1" ht="12.2" customHeight="1" x14ac:dyDescent="0.15">
      <c r="A245" s="1" t="s">
        <v>448</v>
      </c>
      <c r="B245" s="2" t="s">
        <v>350</v>
      </c>
      <c r="C245" s="2" t="s">
        <v>300</v>
      </c>
      <c r="D245" s="2" t="s">
        <v>431</v>
      </c>
      <c r="E245" s="6">
        <v>2700</v>
      </c>
      <c r="F245" s="18">
        <v>0</v>
      </c>
      <c r="G245" s="18">
        <v>0</v>
      </c>
      <c r="H245" s="18">
        <f>81678.66+8691.83+4575.91</f>
        <v>94946.400000000009</v>
      </c>
      <c r="I245" s="18">
        <v>0</v>
      </c>
      <c r="J245" s="18">
        <v>0</v>
      </c>
      <c r="K245" s="18">
        <v>0</v>
      </c>
      <c r="L245" s="13">
        <f t="shared" si="4"/>
        <v>94946.400000000009</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3577.6</v>
      </c>
      <c r="G248" s="38">
        <f t="shared" si="5"/>
        <v>2452.5500000000002</v>
      </c>
      <c r="H248" s="38">
        <f t="shared" si="5"/>
        <v>1422278.63</v>
      </c>
      <c r="I248" s="38">
        <f t="shared" si="5"/>
        <v>0</v>
      </c>
      <c r="J248" s="38">
        <f t="shared" si="5"/>
        <v>0</v>
      </c>
      <c r="K248" s="38">
        <f t="shared" si="5"/>
        <v>0</v>
      </c>
      <c r="L248" s="38">
        <f t="shared" si="5"/>
        <v>1428308.7799999998</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1719713.4300000004</v>
      </c>
      <c r="G258" s="38">
        <f t="shared" si="8"/>
        <v>825001.12000000011</v>
      </c>
      <c r="H258" s="38">
        <f t="shared" si="8"/>
        <v>2979473.1</v>
      </c>
      <c r="I258" s="38">
        <f t="shared" si="8"/>
        <v>122519.4</v>
      </c>
      <c r="J258" s="38">
        <f t="shared" si="8"/>
        <v>65430.939999999995</v>
      </c>
      <c r="K258" s="38">
        <f t="shared" si="8"/>
        <v>17087.599999999999</v>
      </c>
      <c r="L258" s="38">
        <f t="shared" si="8"/>
        <v>5729225.5899999999</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75000</v>
      </c>
      <c r="L267" s="13">
        <f t="shared" si="9"/>
        <v>75000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75000</v>
      </c>
      <c r="L271" s="38">
        <f t="shared" si="9"/>
        <v>75000</v>
      </c>
      <c r="M271" s="8"/>
      <c r="N271" s="164"/>
    </row>
    <row r="272" spans="1:14" s="33" customFormat="1" ht="12.2" customHeight="1" thickTop="1" x14ac:dyDescent="0.2">
      <c r="A272" s="40" t="s">
        <v>464</v>
      </c>
      <c r="B272" s="37">
        <v>10</v>
      </c>
      <c r="C272" s="37">
        <v>18</v>
      </c>
      <c r="D272" s="36" t="s">
        <v>431</v>
      </c>
      <c r="E272" s="37"/>
      <c r="F272" s="39">
        <f t="shared" ref="F272:L272" si="11">F258+F271</f>
        <v>1719713.4300000004</v>
      </c>
      <c r="G272" s="39">
        <f t="shared" si="11"/>
        <v>825001.12000000011</v>
      </c>
      <c r="H272" s="39">
        <f t="shared" si="11"/>
        <v>2979473.1</v>
      </c>
      <c r="I272" s="39">
        <f t="shared" si="11"/>
        <v>122519.4</v>
      </c>
      <c r="J272" s="39">
        <f t="shared" si="11"/>
        <v>65430.939999999995</v>
      </c>
      <c r="K272" s="39">
        <f t="shared" si="11"/>
        <v>92087.6</v>
      </c>
      <c r="L272" s="39">
        <f t="shared" si="11"/>
        <v>5804225.5899999999</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15237.02+45044+11949.57</f>
        <v>72230.59</v>
      </c>
      <c r="G277" s="18">
        <f>4007.48+7009.01-0.01</f>
        <v>11016.48</v>
      </c>
      <c r="H277" s="18">
        <f>449.19+7993.8</f>
        <v>8442.99</v>
      </c>
      <c r="I277" s="18">
        <v>17302.16</v>
      </c>
      <c r="J277" s="18">
        <v>765.62</v>
      </c>
      <c r="K277" s="18">
        <v>0</v>
      </c>
      <c r="L277" s="13">
        <f>SUM(F277:K277)</f>
        <v>109757.84</v>
      </c>
      <c r="M277" s="8"/>
      <c r="N277" s="164"/>
    </row>
    <row r="278" spans="1:14" s="3" customFormat="1" ht="12.2" customHeight="1" x14ac:dyDescent="0.15">
      <c r="A278" s="1" t="s">
        <v>439</v>
      </c>
      <c r="B278" s="2" t="s">
        <v>357</v>
      </c>
      <c r="C278" s="2" t="s">
        <v>291</v>
      </c>
      <c r="D278" s="2" t="s">
        <v>431</v>
      </c>
      <c r="E278" s="6">
        <v>1200</v>
      </c>
      <c r="F278" s="18">
        <v>5619.08</v>
      </c>
      <c r="G278" s="18">
        <v>1102.81</v>
      </c>
      <c r="H278" s="18">
        <v>33189.17</v>
      </c>
      <c r="I278" s="18">
        <v>773.55</v>
      </c>
      <c r="J278" s="18">
        <v>0</v>
      </c>
      <c r="K278" s="18">
        <v>0</v>
      </c>
      <c r="L278" s="13">
        <f>SUM(F278:K278)</f>
        <v>40684.61</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0</v>
      </c>
      <c r="G280" s="18">
        <v>0</v>
      </c>
      <c r="H280" s="18">
        <v>1942.81</v>
      </c>
      <c r="I280" s="18">
        <v>2376</v>
      </c>
      <c r="J280" s="18">
        <v>0</v>
      </c>
      <c r="K280" s="18">
        <v>0</v>
      </c>
      <c r="L280" s="13">
        <f>SUM(F280:K280)</f>
        <v>4318.8099999999995</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8300</v>
      </c>
      <c r="G282" s="18">
        <v>1492.56</v>
      </c>
      <c r="H282" s="18">
        <v>171.52</v>
      </c>
      <c r="I282" s="18">
        <v>0</v>
      </c>
      <c r="J282" s="18">
        <v>0</v>
      </c>
      <c r="K282" s="18">
        <v>0</v>
      </c>
      <c r="L282" s="13">
        <f t="shared" ref="L282:L288" si="12">SUM(F282:K282)</f>
        <v>9964.08</v>
      </c>
      <c r="M282" s="8"/>
      <c r="N282" s="164"/>
    </row>
    <row r="283" spans="1:14" s="3" customFormat="1" ht="12.2" customHeight="1" x14ac:dyDescent="0.15">
      <c r="A283" s="1" t="s">
        <v>443</v>
      </c>
      <c r="B283" s="2" t="s">
        <v>357</v>
      </c>
      <c r="C283" s="2" t="s">
        <v>295</v>
      </c>
      <c r="D283" s="2" t="s">
        <v>431</v>
      </c>
      <c r="E283" s="6">
        <v>2200</v>
      </c>
      <c r="F283" s="18">
        <v>0</v>
      </c>
      <c r="G283" s="18">
        <v>0</v>
      </c>
      <c r="H283" s="18">
        <f>13000+650+411.18+999+56.33</f>
        <v>15116.51</v>
      </c>
      <c r="I283" s="18">
        <v>0</v>
      </c>
      <c r="J283" s="18">
        <v>0</v>
      </c>
      <c r="K283" s="18">
        <v>0</v>
      </c>
      <c r="L283" s="13">
        <f t="shared" si="12"/>
        <v>15116.51</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3000</v>
      </c>
      <c r="I285" s="18">
        <v>0</v>
      </c>
      <c r="J285" s="18">
        <v>0</v>
      </c>
      <c r="K285" s="18">
        <v>0</v>
      </c>
      <c r="L285" s="13">
        <f t="shared" si="12"/>
        <v>3000</v>
      </c>
      <c r="M285" s="8"/>
      <c r="N285" s="164"/>
    </row>
    <row r="286" spans="1:14" s="3" customFormat="1" ht="12.2" customHeight="1" x14ac:dyDescent="0.15">
      <c r="A286" s="1" t="s">
        <v>446</v>
      </c>
      <c r="B286" s="2" t="s">
        <v>357</v>
      </c>
      <c r="C286" s="2" t="s">
        <v>298</v>
      </c>
      <c r="D286" s="2" t="s">
        <v>431</v>
      </c>
      <c r="E286" s="6">
        <v>2500</v>
      </c>
      <c r="F286" s="18">
        <v>0</v>
      </c>
      <c r="G286" s="18">
        <v>0</v>
      </c>
      <c r="H286" s="18">
        <f>704.95+43.7</f>
        <v>748.65000000000009</v>
      </c>
      <c r="I286" s="18">
        <v>0</v>
      </c>
      <c r="J286" s="18">
        <v>0</v>
      </c>
      <c r="K286" s="18">
        <v>0</v>
      </c>
      <c r="L286" s="13">
        <f t="shared" si="12"/>
        <v>748.65000000000009</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1738.35</v>
      </c>
      <c r="J287" s="18">
        <v>35598</v>
      </c>
      <c r="K287" s="18">
        <v>0</v>
      </c>
      <c r="L287" s="13">
        <f t="shared" si="12"/>
        <v>37336.35</v>
      </c>
      <c r="M287" s="8"/>
      <c r="N287" s="1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86149.67</v>
      </c>
      <c r="G291" s="39">
        <f t="shared" si="13"/>
        <v>13611.849999999999</v>
      </c>
      <c r="H291" s="39">
        <f t="shared" si="13"/>
        <v>62611.649999999994</v>
      </c>
      <c r="I291" s="39">
        <f t="shared" si="13"/>
        <v>22190.059999999998</v>
      </c>
      <c r="J291" s="39">
        <f t="shared" si="13"/>
        <v>36363.620000000003</v>
      </c>
      <c r="K291" s="39">
        <f t="shared" si="13"/>
        <v>0</v>
      </c>
      <c r="L291" s="38">
        <f t="shared" si="13"/>
        <v>220926.85</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86149.67</v>
      </c>
      <c r="G339" s="38">
        <f t="shared" si="20"/>
        <v>13611.849999999999</v>
      </c>
      <c r="H339" s="38">
        <f t="shared" si="20"/>
        <v>62611.649999999994</v>
      </c>
      <c r="I339" s="38">
        <f t="shared" si="20"/>
        <v>22190.059999999998</v>
      </c>
      <c r="J339" s="38">
        <f t="shared" si="20"/>
        <v>36363.620000000003</v>
      </c>
      <c r="K339" s="38">
        <f t="shared" si="20"/>
        <v>0</v>
      </c>
      <c r="L339" s="38">
        <f t="shared" si="20"/>
        <v>220926.85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86149.67</v>
      </c>
      <c r="G353" s="38">
        <f>G339</f>
        <v>13611.849999999999</v>
      </c>
      <c r="H353" s="38">
        <f>H339</f>
        <v>62611.649999999994</v>
      </c>
      <c r="I353" s="38">
        <f>I339</f>
        <v>22190.059999999998</v>
      </c>
      <c r="J353" s="38">
        <f>J339</f>
        <v>36363.620000000003</v>
      </c>
      <c r="K353" s="38">
        <f>K339+K352</f>
        <v>0</v>
      </c>
      <c r="L353" s="38">
        <f>L339+L352</f>
        <v>220926.85</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0</v>
      </c>
      <c r="G359" s="18">
        <v>0</v>
      </c>
      <c r="H359" s="18">
        <v>58498.99</v>
      </c>
      <c r="I359" s="18">
        <v>4721.93</v>
      </c>
      <c r="J359" s="18">
        <v>6442</v>
      </c>
      <c r="K359" s="18">
        <v>0</v>
      </c>
      <c r="L359" s="13">
        <f>SUM(F359:K359)</f>
        <v>69662.92</v>
      </c>
      <c r="M359" s="8"/>
      <c r="N359" s="1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58498.99</v>
      </c>
      <c r="I363" s="38">
        <f t="shared" si="22"/>
        <v>4721.93</v>
      </c>
      <c r="J363" s="38">
        <f t="shared" si="22"/>
        <v>6442</v>
      </c>
      <c r="K363" s="38">
        <f t="shared" si="22"/>
        <v>0</v>
      </c>
      <c r="L363" s="38">
        <f t="shared" si="22"/>
        <v>69662.92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1447.84</f>
        <v>1447.84</v>
      </c>
      <c r="G368" s="18">
        <v>0</v>
      </c>
      <c r="H368" s="18">
        <v>0</v>
      </c>
      <c r="I368" s="13">
        <f>SUM(F368:H368)</f>
        <v>1447.84</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1584.39+1689.7</f>
        <v>3274.09</v>
      </c>
      <c r="G369" s="53">
        <v>0</v>
      </c>
      <c r="H369" s="53">
        <v>0</v>
      </c>
      <c r="I369" s="13">
        <f>SUM(F369:H369)</f>
        <v>3274.09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4721.93</v>
      </c>
      <c r="G370" s="38">
        <f>SUM(G368:G369)</f>
        <v>0</v>
      </c>
      <c r="H370" s="38">
        <f>SUM(H368:H369)</f>
        <v>0</v>
      </c>
      <c r="I370" s="38">
        <f>SUM(I368:I369)</f>
        <v>4721.93</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v>0</v>
      </c>
      <c r="G393" s="18">
        <v>75000</v>
      </c>
      <c r="H393" s="18">
        <v>426.79</v>
      </c>
      <c r="I393" s="18">
        <v>0</v>
      </c>
      <c r="J393" s="23" t="s">
        <v>288</v>
      </c>
      <c r="K393" s="23" t="s">
        <v>288</v>
      </c>
      <c r="L393" s="13">
        <f t="shared" si="25"/>
        <v>75426.789999999994</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75000</v>
      </c>
      <c r="H394" s="97">
        <f>SUM(H388:H393)</f>
        <v>426.79</v>
      </c>
      <c r="I394" s="54">
        <f>SUM(I388:I393)</f>
        <v>0</v>
      </c>
      <c r="J394" s="42" t="s">
        <v>288</v>
      </c>
      <c r="K394" s="42" t="s">
        <v>288</v>
      </c>
      <c r="L394" s="38">
        <f>SUM(L388:L393)</f>
        <v>75426.789999999994</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v>0</v>
      </c>
      <c r="G397" s="18">
        <v>0</v>
      </c>
      <c r="H397" s="18">
        <v>0</v>
      </c>
      <c r="I397" s="18">
        <v>0</v>
      </c>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v>0</v>
      </c>
      <c r="G398" s="18">
        <v>0</v>
      </c>
      <c r="H398" s="18">
        <v>0</v>
      </c>
      <c r="I398" s="18">
        <v>0</v>
      </c>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v>0</v>
      </c>
      <c r="G401" s="18">
        <v>0</v>
      </c>
      <c r="H401" s="18">
        <v>0</v>
      </c>
      <c r="I401" s="18">
        <v>0</v>
      </c>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v>0</v>
      </c>
      <c r="G404" s="18">
        <v>0</v>
      </c>
      <c r="H404" s="18">
        <v>0</v>
      </c>
      <c r="I404" s="18">
        <v>0</v>
      </c>
      <c r="J404" s="23" t="s">
        <v>288</v>
      </c>
      <c r="K404" s="23" t="s">
        <v>288</v>
      </c>
      <c r="L404" s="13">
        <f>SUM(F404:K404)</f>
        <v>0</v>
      </c>
      <c r="M404" s="8"/>
      <c r="N404" s="164"/>
    </row>
    <row r="405" spans="1:21" s="3" customFormat="1" ht="12.2" customHeight="1" x14ac:dyDescent="0.15">
      <c r="A405" s="82"/>
      <c r="B405" s="2" t="s">
        <v>381</v>
      </c>
      <c r="C405" s="6">
        <v>16</v>
      </c>
      <c r="D405" s="2" t="s">
        <v>432</v>
      </c>
      <c r="E405" s="6"/>
      <c r="F405" s="18">
        <v>0</v>
      </c>
      <c r="G405" s="18">
        <v>0</v>
      </c>
      <c r="H405" s="18">
        <v>0</v>
      </c>
      <c r="I405" s="18">
        <v>0</v>
      </c>
      <c r="J405" s="23" t="s">
        <v>288</v>
      </c>
      <c r="K405" s="23" t="s">
        <v>288</v>
      </c>
      <c r="L405" s="13">
        <f>SUM(F405:K405)</f>
        <v>0</v>
      </c>
      <c r="M405" s="8"/>
      <c r="N405" s="164"/>
    </row>
    <row r="406" spans="1:21" s="3" customFormat="1" ht="12.2" customHeight="1" x14ac:dyDescent="0.15">
      <c r="A406" s="82"/>
      <c r="B406" s="2" t="s">
        <v>381</v>
      </c>
      <c r="C406" s="6">
        <v>17</v>
      </c>
      <c r="D406" s="2" t="s">
        <v>432</v>
      </c>
      <c r="E406" s="6"/>
      <c r="F406" s="18">
        <v>0</v>
      </c>
      <c r="G406" s="18">
        <v>0</v>
      </c>
      <c r="H406" s="18">
        <v>0</v>
      </c>
      <c r="I406" s="18">
        <v>0</v>
      </c>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v>0</v>
      </c>
      <c r="G407" s="18">
        <v>0</v>
      </c>
      <c r="H407" s="18">
        <v>0</v>
      </c>
      <c r="I407" s="18">
        <v>0</v>
      </c>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75000</v>
      </c>
      <c r="H409" s="38">
        <f>H394+H402+H408</f>
        <v>426.79</v>
      </c>
      <c r="I409" s="38">
        <f>I394+I402+I408</f>
        <v>0</v>
      </c>
      <c r="J409" s="23" t="s">
        <v>288</v>
      </c>
      <c r="K409" s="23" t="s">
        <v>288</v>
      </c>
      <c r="L409" s="38">
        <f>L394+L402+L408</f>
        <v>75426.789999999994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4"/>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4"/>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4"/>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4"/>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4"/>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4"/>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4"/>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4"/>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4"/>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4"/>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0"/>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4"/>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0</v>
      </c>
      <c r="G440" s="18">
        <v>0</v>
      </c>
      <c r="H440" s="18">
        <v>0</v>
      </c>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460313.22</v>
      </c>
      <c r="G441" s="18">
        <v>0</v>
      </c>
      <c r="H441" s="18">
        <v>0</v>
      </c>
      <c r="I441" s="13">
        <f t="shared" si="33"/>
        <v>460313.22</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0</v>
      </c>
      <c r="G442" s="18">
        <v>0</v>
      </c>
      <c r="H442" s="18">
        <v>0</v>
      </c>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0</v>
      </c>
      <c r="G443" s="18">
        <v>0</v>
      </c>
      <c r="H443" s="18">
        <v>0</v>
      </c>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460313.22</v>
      </c>
      <c r="G447" s="13">
        <f>SUM(G440:G446)</f>
        <v>0</v>
      </c>
      <c r="H447" s="13">
        <f>SUM(H440:H446)</f>
        <v>0</v>
      </c>
      <c r="I447" s="13">
        <f>SUM(I440:I446)</f>
        <v>460313.22</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v>0</v>
      </c>
      <c r="G456" s="18">
        <v>0</v>
      </c>
      <c r="H456" s="18">
        <v>0</v>
      </c>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v>0</v>
      </c>
      <c r="G458" s="18">
        <v>0</v>
      </c>
      <c r="H458" s="18">
        <v>0</v>
      </c>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v>0</v>
      </c>
      <c r="G459" s="18">
        <v>0</v>
      </c>
      <c r="H459" s="18">
        <v>0</v>
      </c>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460313.22</v>
      </c>
      <c r="G460" s="18">
        <v>0</v>
      </c>
      <c r="H460" s="18">
        <v>0</v>
      </c>
      <c r="I460" s="13">
        <f t="shared" si="34"/>
        <v>460313.22</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460313.22</v>
      </c>
      <c r="G461" s="65">
        <f>SUM(G455:G460)</f>
        <v>0</v>
      </c>
      <c r="H461" s="65">
        <f>SUM(H455:H460)</f>
        <v>0</v>
      </c>
      <c r="I461" s="65">
        <f>SUM(I455:I460)</f>
        <v>460313.22</v>
      </c>
      <c r="J461" s="23" t="s">
        <v>288</v>
      </c>
      <c r="K461" s="23" t="s">
        <v>288</v>
      </c>
      <c r="L461" s="23" t="s">
        <v>288</v>
      </c>
      <c r="N461" s="130"/>
    </row>
    <row r="462" spans="1:86" ht="12.2" customHeight="1" thickTop="1" x14ac:dyDescent="0.2">
      <c r="A462" s="40" t="s">
        <v>424</v>
      </c>
      <c r="B462" s="41">
        <v>18</v>
      </c>
      <c r="C462" s="64">
        <v>21</v>
      </c>
      <c r="D462" s="114" t="s">
        <v>432</v>
      </c>
      <c r="E462" s="64"/>
      <c r="F462" s="39">
        <f>F453+F461</f>
        <v>460313.22</v>
      </c>
      <c r="G462" s="39">
        <f>G453+G461</f>
        <v>0</v>
      </c>
      <c r="H462" s="39">
        <f>H453+H461</f>
        <v>0</v>
      </c>
      <c r="I462" s="39">
        <f>I453+I461</f>
        <v>460313.22</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460410.44000000041</v>
      </c>
      <c r="G466" s="18">
        <v>28814.62</v>
      </c>
      <c r="H466" s="18">
        <v>92.520000000004075</v>
      </c>
      <c r="I466" s="18">
        <v>0</v>
      </c>
      <c r="J466" s="18">
        <v>384886.42999999993</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5611635.69+220</f>
        <v>5611855.6900000004</v>
      </c>
      <c r="G469" s="18">
        <v>68029.600000000006</v>
      </c>
      <c r="H469" s="18">
        <f>220870.52+56.33</f>
        <v>220926.84999999998</v>
      </c>
      <c r="I469" s="18">
        <v>0</v>
      </c>
      <c r="J469" s="18">
        <f>75000+426.79</f>
        <v>75426.789999999994</v>
      </c>
      <c r="K469" s="23" t="s">
        <v>288</v>
      </c>
      <c r="L469" s="23" t="s">
        <v>288</v>
      </c>
      <c r="N469" s="130"/>
    </row>
    <row r="470" spans="1:14" ht="12.2" customHeight="1" x14ac:dyDescent="0.2">
      <c r="A470" s="71" t="s">
        <v>611</v>
      </c>
      <c r="B470" s="22">
        <v>19</v>
      </c>
      <c r="C470" s="31">
        <v>3</v>
      </c>
      <c r="D470" s="2" t="s">
        <v>432</v>
      </c>
      <c r="E470" s="31"/>
      <c r="F470" s="18">
        <v>0</v>
      </c>
      <c r="G470" s="18">
        <v>3110</v>
      </c>
      <c r="H470" s="18">
        <v>0</v>
      </c>
      <c r="I470" s="18">
        <v>0</v>
      </c>
      <c r="J470" s="18">
        <v>0</v>
      </c>
      <c r="K470" s="23" t="s">
        <v>288</v>
      </c>
      <c r="L470" s="23" t="s">
        <v>288</v>
      </c>
      <c r="N470" s="130"/>
    </row>
    <row r="471" spans="1:14" ht="12.2" customHeight="1" x14ac:dyDescent="0.2">
      <c r="A471" s="32" t="s">
        <v>425</v>
      </c>
      <c r="B471" s="22">
        <v>19</v>
      </c>
      <c r="C471" s="31">
        <v>4</v>
      </c>
      <c r="D471" s="2" t="s">
        <v>432</v>
      </c>
      <c r="E471" s="31"/>
      <c r="F471" s="19">
        <f>SUM(F469:F470)</f>
        <v>5611855.6900000004</v>
      </c>
      <c r="G471" s="19">
        <f>SUM(G469:G470)</f>
        <v>71139.600000000006</v>
      </c>
      <c r="H471" s="19">
        <f>SUM(H469:H470)</f>
        <v>220926.84999999998</v>
      </c>
      <c r="I471" s="19">
        <f>SUM(I469:I470)</f>
        <v>0</v>
      </c>
      <c r="J471" s="19">
        <f>SUM(J469:J470)</f>
        <v>75426.789999999994</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5804225.5899999999</v>
      </c>
      <c r="G473" s="18">
        <v>69662.92</v>
      </c>
      <c r="H473" s="18">
        <f>56.33+220870.52</f>
        <v>220926.84999999998</v>
      </c>
      <c r="I473" s="18">
        <v>0</v>
      </c>
      <c r="J473" s="18">
        <v>0</v>
      </c>
      <c r="K473" s="23" t="s">
        <v>288</v>
      </c>
      <c r="L473" s="23" t="s">
        <v>288</v>
      </c>
      <c r="N473" s="130"/>
    </row>
    <row r="474" spans="1:14" ht="12.2" customHeight="1" x14ac:dyDescent="0.2">
      <c r="A474" s="71" t="s">
        <v>613</v>
      </c>
      <c r="B474" s="22">
        <v>19</v>
      </c>
      <c r="C474" s="31">
        <v>6</v>
      </c>
      <c r="D474" s="2" t="s">
        <v>432</v>
      </c>
      <c r="E474" s="31"/>
      <c r="F474" s="18">
        <v>0</v>
      </c>
      <c r="G474" s="18">
        <v>4768</v>
      </c>
      <c r="H474" s="18">
        <v>0</v>
      </c>
      <c r="I474" s="18">
        <v>0</v>
      </c>
      <c r="J474" s="18">
        <v>0</v>
      </c>
      <c r="K474" s="23" t="s">
        <v>288</v>
      </c>
      <c r="L474" s="23" t="s">
        <v>288</v>
      </c>
      <c r="N474" s="130"/>
    </row>
    <row r="475" spans="1:14" ht="12.2" customHeight="1" x14ac:dyDescent="0.2">
      <c r="A475" s="32" t="s">
        <v>426</v>
      </c>
      <c r="B475" s="22">
        <v>19</v>
      </c>
      <c r="C475" s="31">
        <v>7</v>
      </c>
      <c r="D475" s="2" t="s">
        <v>432</v>
      </c>
      <c r="E475" s="31"/>
      <c r="F475" s="19">
        <f>SUM(F473:F474)</f>
        <v>5804225.5899999999</v>
      </c>
      <c r="G475" s="19">
        <f>SUM(G473:G474)</f>
        <v>74430.92</v>
      </c>
      <c r="H475" s="19">
        <f>SUM(H473:H474)</f>
        <v>220926.84999999998</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268040.54000000097</v>
      </c>
      <c r="G477" s="19">
        <f>(G466+G471)- G475</f>
        <v>25523.300000000003</v>
      </c>
      <c r="H477" s="19">
        <f>(H466+H471)- H475</f>
        <v>92.520000000018626</v>
      </c>
      <c r="I477" s="19">
        <f>(I466+I471)- I475</f>
        <v>0</v>
      </c>
      <c r="J477" s="19">
        <f>(J466+J471)- J475</f>
        <v>460313.21999999991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1842</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1842</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0</v>
      </c>
      <c r="G491" s="111">
        <v>0</v>
      </c>
      <c r="H491" s="111">
        <v>0</v>
      </c>
      <c r="I491" s="111">
        <v>0</v>
      </c>
      <c r="J491" s="111">
        <v>0</v>
      </c>
      <c r="K491" s="23" t="s">
        <v>288</v>
      </c>
      <c r="L491" s="23" t="s">
        <v>288</v>
      </c>
      <c r="N491" s="130"/>
    </row>
    <row r="492" spans="1:14" ht="12.2" customHeight="1" x14ac:dyDescent="0.2">
      <c r="A492" s="21" t="s">
        <v>615</v>
      </c>
      <c r="B492" s="22">
        <v>20</v>
      </c>
      <c r="C492" s="22">
        <v>2</v>
      </c>
      <c r="D492" s="2" t="s">
        <v>432</v>
      </c>
      <c r="E492" s="22"/>
      <c r="F492" s="112" t="s">
        <v>1841</v>
      </c>
      <c r="G492" s="112" t="s">
        <v>1841</v>
      </c>
      <c r="H492" s="111">
        <v>0</v>
      </c>
      <c r="I492" s="111">
        <v>0</v>
      </c>
      <c r="J492" s="111">
        <v>0</v>
      </c>
      <c r="K492" s="23" t="s">
        <v>288</v>
      </c>
      <c r="L492" s="23" t="s">
        <v>288</v>
      </c>
      <c r="N492" s="130"/>
    </row>
    <row r="493" spans="1:14" ht="12.2" customHeight="1" x14ac:dyDescent="0.2">
      <c r="A493" s="21" t="s">
        <v>616</v>
      </c>
      <c r="B493" s="22">
        <v>20</v>
      </c>
      <c r="C493" s="22">
        <v>3</v>
      </c>
      <c r="D493" s="2" t="s">
        <v>432</v>
      </c>
      <c r="E493" s="22"/>
      <c r="F493" s="112" t="s">
        <v>1841</v>
      </c>
      <c r="G493" s="112" t="s">
        <v>1841</v>
      </c>
      <c r="H493" s="111">
        <v>0</v>
      </c>
      <c r="I493" s="111">
        <v>0</v>
      </c>
      <c r="J493" s="111">
        <v>0</v>
      </c>
      <c r="K493" s="23" t="s">
        <v>288</v>
      </c>
      <c r="L493" s="23" t="s">
        <v>288</v>
      </c>
      <c r="N493" s="130"/>
    </row>
    <row r="494" spans="1:14" ht="12.2" customHeight="1" x14ac:dyDescent="0.2">
      <c r="A494" s="21" t="s">
        <v>617</v>
      </c>
      <c r="B494" s="22">
        <v>20</v>
      </c>
      <c r="C494" s="22">
        <v>4</v>
      </c>
      <c r="D494" s="2" t="s">
        <v>432</v>
      </c>
      <c r="E494" s="22"/>
      <c r="F494" s="18">
        <v>0</v>
      </c>
      <c r="G494" s="18">
        <v>0</v>
      </c>
      <c r="H494" s="18">
        <v>0</v>
      </c>
      <c r="I494" s="18">
        <v>0</v>
      </c>
      <c r="J494" s="18">
        <v>0</v>
      </c>
      <c r="K494" s="23" t="s">
        <v>288</v>
      </c>
      <c r="L494" s="23" t="s">
        <v>288</v>
      </c>
      <c r="N494" s="130"/>
    </row>
    <row r="495" spans="1:14" ht="12.2" customHeight="1" x14ac:dyDescent="0.2">
      <c r="A495" s="21" t="s">
        <v>618</v>
      </c>
      <c r="B495" s="22">
        <v>20</v>
      </c>
      <c r="C495" s="22">
        <v>5</v>
      </c>
      <c r="D495" s="2" t="s">
        <v>432</v>
      </c>
      <c r="E495" s="22"/>
      <c r="F495" s="18">
        <v>0</v>
      </c>
      <c r="G495" s="18">
        <v>0</v>
      </c>
      <c r="H495" s="18">
        <v>0</v>
      </c>
      <c r="I495" s="18">
        <v>0</v>
      </c>
      <c r="J495" s="18">
        <v>0</v>
      </c>
      <c r="K495" s="23" t="s">
        <v>288</v>
      </c>
      <c r="L495" s="23" t="s">
        <v>288</v>
      </c>
      <c r="N495" s="130"/>
    </row>
    <row r="496" spans="1:14" ht="12.2" customHeight="1" x14ac:dyDescent="0.2">
      <c r="A496" s="21" t="s">
        <v>619</v>
      </c>
      <c r="B496" s="22">
        <v>20</v>
      </c>
      <c r="C496" s="22">
        <v>6</v>
      </c>
      <c r="D496" s="2" t="s">
        <v>432</v>
      </c>
      <c r="E496" s="22"/>
      <c r="F496" s="18">
        <v>0</v>
      </c>
      <c r="G496" s="18">
        <v>0</v>
      </c>
      <c r="H496" s="18">
        <v>0</v>
      </c>
      <c r="I496" s="18">
        <v>0</v>
      </c>
      <c r="J496" s="18">
        <v>0</v>
      </c>
      <c r="K496" s="19">
        <f>SUM(F496:J496)</f>
        <v>0</v>
      </c>
      <c r="L496" s="23" t="s">
        <v>288</v>
      </c>
      <c r="N496" s="130"/>
    </row>
    <row r="497" spans="1:14" ht="12.2" customHeight="1" x14ac:dyDescent="0.2">
      <c r="A497" s="21" t="s">
        <v>620</v>
      </c>
      <c r="B497" s="22">
        <v>20</v>
      </c>
      <c r="C497" s="22">
        <v>7</v>
      </c>
      <c r="D497" s="2" t="s">
        <v>432</v>
      </c>
      <c r="E497" s="22"/>
      <c r="F497" s="18">
        <v>0</v>
      </c>
      <c r="G497" s="18">
        <v>0</v>
      </c>
      <c r="H497" s="18">
        <v>0</v>
      </c>
      <c r="I497" s="18">
        <v>0</v>
      </c>
      <c r="J497" s="18">
        <v>0</v>
      </c>
      <c r="K497" s="19">
        <f t="shared" ref="K497:K504" si="35">SUM(F497:J497)</f>
        <v>0</v>
      </c>
      <c r="L497" s="23" t="s">
        <v>288</v>
      </c>
      <c r="N497" s="130"/>
    </row>
    <row r="498" spans="1:14" ht="12.2" customHeight="1" x14ac:dyDescent="0.2">
      <c r="A498" s="21" t="s">
        <v>621</v>
      </c>
      <c r="B498" s="22">
        <v>20</v>
      </c>
      <c r="C498" s="22">
        <v>8</v>
      </c>
      <c r="D498" s="2" t="s">
        <v>432</v>
      </c>
      <c r="E498" s="22"/>
      <c r="F498" s="18">
        <v>0</v>
      </c>
      <c r="G498" s="18">
        <v>0</v>
      </c>
      <c r="H498" s="18">
        <v>0</v>
      </c>
      <c r="I498" s="18">
        <v>0</v>
      </c>
      <c r="J498" s="18">
        <v>0</v>
      </c>
      <c r="K498" s="19">
        <f t="shared" si="35"/>
        <v>0</v>
      </c>
      <c r="L498" s="23" t="s">
        <v>288</v>
      </c>
      <c r="N498" s="130"/>
    </row>
    <row r="499" spans="1:14" ht="12.2" customHeight="1" x14ac:dyDescent="0.2">
      <c r="A499" s="143" t="s">
        <v>622</v>
      </c>
      <c r="B499" s="144">
        <v>20</v>
      </c>
      <c r="C499" s="144">
        <v>9</v>
      </c>
      <c r="D499" s="145" t="s">
        <v>432</v>
      </c>
      <c r="E499" s="144"/>
      <c r="F499" s="146">
        <v>0</v>
      </c>
      <c r="G499" s="146">
        <v>0</v>
      </c>
      <c r="H499" s="146">
        <v>0</v>
      </c>
      <c r="I499" s="146">
        <v>0</v>
      </c>
      <c r="J499" s="146">
        <v>0</v>
      </c>
      <c r="K499" s="147">
        <f t="shared" si="35"/>
        <v>0</v>
      </c>
      <c r="L499" s="148" t="s">
        <v>288</v>
      </c>
      <c r="N499" s="130"/>
    </row>
    <row r="500" spans="1:14" ht="12.2" customHeight="1" thickBot="1" x14ac:dyDescent="0.25">
      <c r="A500" s="21" t="s">
        <v>623</v>
      </c>
      <c r="B500" s="22">
        <v>20</v>
      </c>
      <c r="C500" s="22">
        <v>10</v>
      </c>
      <c r="D500" s="2" t="s">
        <v>432</v>
      </c>
      <c r="E500" s="22"/>
      <c r="F500" s="18">
        <v>0</v>
      </c>
      <c r="G500" s="18">
        <v>0</v>
      </c>
      <c r="H500" s="18">
        <v>0</v>
      </c>
      <c r="I500" s="18">
        <v>0</v>
      </c>
      <c r="J500" s="18">
        <v>0</v>
      </c>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v>0</v>
      </c>
      <c r="G502" s="146">
        <v>0</v>
      </c>
      <c r="H502" s="146">
        <v>0</v>
      </c>
      <c r="I502" s="146">
        <v>0</v>
      </c>
      <c r="J502" s="146">
        <v>0</v>
      </c>
      <c r="K502" s="147">
        <f t="shared" si="35"/>
        <v>0</v>
      </c>
      <c r="L502" s="148" t="s">
        <v>288</v>
      </c>
      <c r="N502" s="130"/>
    </row>
    <row r="503" spans="1:14" ht="12.2" customHeight="1" thickBot="1" x14ac:dyDescent="0.25">
      <c r="A503" s="21" t="s">
        <v>625</v>
      </c>
      <c r="B503" s="22">
        <v>20</v>
      </c>
      <c r="C503" s="22">
        <v>13</v>
      </c>
      <c r="D503" s="2" t="s">
        <v>432</v>
      </c>
      <c r="E503" s="22"/>
      <c r="F503" s="18">
        <v>0</v>
      </c>
      <c r="G503" s="18">
        <v>0</v>
      </c>
      <c r="H503" s="18">
        <v>0</v>
      </c>
      <c r="I503" s="18">
        <v>0</v>
      </c>
      <c r="J503" s="18">
        <v>0</v>
      </c>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v>0</v>
      </c>
      <c r="G512" s="23" t="s">
        <v>288</v>
      </c>
      <c r="H512" s="18">
        <v>0</v>
      </c>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v>0</v>
      </c>
      <c r="G513" s="23" t="s">
        <v>288</v>
      </c>
      <c r="H513" s="18">
        <v>0</v>
      </c>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v>0</v>
      </c>
      <c r="G514" s="23" t="s">
        <v>288</v>
      </c>
      <c r="H514" s="18">
        <v>0</v>
      </c>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v>0</v>
      </c>
      <c r="G515" s="23" t="s">
        <v>288</v>
      </c>
      <c r="H515" s="18">
        <v>0</v>
      </c>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v>0</v>
      </c>
      <c r="G516" s="23" t="s">
        <v>288</v>
      </c>
      <c r="H516" s="18">
        <v>0</v>
      </c>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v>0</v>
      </c>
      <c r="H517" s="23" t="s">
        <v>288</v>
      </c>
      <c r="I517" s="18">
        <v>0</v>
      </c>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315079.77</f>
        <v>315079.77</v>
      </c>
      <c r="G522" s="18">
        <v>117382.83</v>
      </c>
      <c r="H522" s="18">
        <v>23753.599999999999</v>
      </c>
      <c r="I522" s="18">
        <v>1785.92</v>
      </c>
      <c r="J522" s="18">
        <v>1346.63</v>
      </c>
      <c r="K522" s="18">
        <v>0</v>
      </c>
      <c r="L522" s="69">
        <f>SUM(F522:K522)</f>
        <v>459348.75</v>
      </c>
      <c r="N522" s="130"/>
    </row>
    <row r="523" spans="1:14" ht="12.2" customHeight="1" x14ac:dyDescent="0.2">
      <c r="A523" s="21" t="s">
        <v>634</v>
      </c>
      <c r="B523" s="22">
        <v>21</v>
      </c>
      <c r="C523" s="22">
        <v>2</v>
      </c>
      <c r="D523" s="2" t="s">
        <v>432</v>
      </c>
      <c r="E523" s="22"/>
      <c r="F523" s="18">
        <v>0</v>
      </c>
      <c r="G523" s="18">
        <v>0</v>
      </c>
      <c r="H523" s="18">
        <v>345734.13</v>
      </c>
      <c r="I523" s="18">
        <v>0</v>
      </c>
      <c r="J523" s="18">
        <v>0</v>
      </c>
      <c r="K523" s="18">
        <v>0</v>
      </c>
      <c r="L523" s="69">
        <f>SUM(F523:K523)</f>
        <v>345734.13</v>
      </c>
      <c r="N523" s="130"/>
    </row>
    <row r="524" spans="1:14" ht="12.2" customHeight="1" thickBot="1" x14ac:dyDescent="0.25">
      <c r="A524" s="21" t="s">
        <v>635</v>
      </c>
      <c r="B524" s="22">
        <v>21</v>
      </c>
      <c r="C524" s="22">
        <v>3</v>
      </c>
      <c r="D524" s="2" t="s">
        <v>432</v>
      </c>
      <c r="E524" s="22"/>
      <c r="F524" s="18">
        <v>0</v>
      </c>
      <c r="G524" s="18">
        <v>0</v>
      </c>
      <c r="H524" s="18">
        <v>130926.47</v>
      </c>
      <c r="I524" s="18">
        <v>0</v>
      </c>
      <c r="J524" s="18">
        <v>0</v>
      </c>
      <c r="K524" s="18">
        <v>0</v>
      </c>
      <c r="L524" s="69">
        <f>SUM(F524:K524)</f>
        <v>130926.47</v>
      </c>
      <c r="N524" s="130"/>
    </row>
    <row r="525" spans="1:14" ht="12.2" customHeight="1" thickTop="1" x14ac:dyDescent="0.2">
      <c r="A525" s="97" t="s">
        <v>63</v>
      </c>
      <c r="B525" s="41">
        <v>21</v>
      </c>
      <c r="C525" s="41">
        <v>4</v>
      </c>
      <c r="D525" s="115" t="s">
        <v>432</v>
      </c>
      <c r="E525" s="41"/>
      <c r="F525" s="81">
        <f>SUM(F522:F524)</f>
        <v>315079.77</v>
      </c>
      <c r="G525" s="81">
        <f t="shared" ref="G525:L525" si="36">SUM(G522:G524)</f>
        <v>117382.83</v>
      </c>
      <c r="H525" s="81">
        <f t="shared" si="36"/>
        <v>500414.19999999995</v>
      </c>
      <c r="I525" s="81">
        <f t="shared" si="36"/>
        <v>1785.92</v>
      </c>
      <c r="J525" s="81">
        <f t="shared" si="36"/>
        <v>1346.63</v>
      </c>
      <c r="K525" s="81">
        <f t="shared" si="36"/>
        <v>0</v>
      </c>
      <c r="L525" s="70">
        <f t="shared" si="36"/>
        <v>936009.35</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75074</v>
      </c>
      <c r="G527" s="18">
        <f>11449.96+564+288.9+122.2+5772.26+14744.6</f>
        <v>32941.919999999998</v>
      </c>
      <c r="H527" s="18">
        <f>56282.24+33189.17</f>
        <v>89471.41</v>
      </c>
      <c r="I527" s="18">
        <f>270.95+186.8+773.55</f>
        <v>1231.3</v>
      </c>
      <c r="J527" s="18">
        <v>0</v>
      </c>
      <c r="K527" s="18">
        <v>0</v>
      </c>
      <c r="L527" s="69">
        <f>SUM(F527:K527)</f>
        <v>198718.63</v>
      </c>
      <c r="M527" s="8"/>
      <c r="N527" s="164"/>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4"/>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4"/>
    </row>
    <row r="530" spans="1:14" s="3" customFormat="1" ht="12.2" customHeight="1" thickTop="1" x14ac:dyDescent="0.15">
      <c r="A530" s="97" t="s">
        <v>65</v>
      </c>
      <c r="B530" s="41">
        <v>21</v>
      </c>
      <c r="C530" s="41">
        <v>8</v>
      </c>
      <c r="D530" s="115" t="s">
        <v>432</v>
      </c>
      <c r="E530" s="41"/>
      <c r="F530" s="70">
        <f>SUM(F527:F529)</f>
        <v>75074</v>
      </c>
      <c r="G530" s="70">
        <f t="shared" ref="G530:L530" si="37">SUM(G527:G529)</f>
        <v>32941.919999999998</v>
      </c>
      <c r="H530" s="70">
        <f t="shared" si="37"/>
        <v>89471.41</v>
      </c>
      <c r="I530" s="70">
        <f t="shared" si="37"/>
        <v>1231.3</v>
      </c>
      <c r="J530" s="70">
        <f t="shared" si="37"/>
        <v>0</v>
      </c>
      <c r="K530" s="70">
        <f t="shared" si="37"/>
        <v>0</v>
      </c>
      <c r="L530" s="70">
        <f t="shared" si="37"/>
        <v>198718.63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5619.08+7060</f>
        <v>12679.08</v>
      </c>
      <c r="G532" s="18">
        <f>388.6+714.21+4354</f>
        <v>5456.8099999999995</v>
      </c>
      <c r="H532" s="18">
        <v>0</v>
      </c>
      <c r="I532" s="18">
        <v>0</v>
      </c>
      <c r="J532" s="18">
        <v>0</v>
      </c>
      <c r="K532" s="18">
        <v>0</v>
      </c>
      <c r="L532" s="69">
        <f>SUM(F532:K532)</f>
        <v>18135.89</v>
      </c>
      <c r="M532" s="8"/>
      <c r="N532" s="164"/>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4"/>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4"/>
    </row>
    <row r="535" spans="1:14" s="3" customFormat="1" ht="12.2" customHeight="1" thickTop="1" x14ac:dyDescent="0.15">
      <c r="A535" s="97" t="s">
        <v>67</v>
      </c>
      <c r="B535" s="41">
        <v>21</v>
      </c>
      <c r="C535" s="41">
        <v>12</v>
      </c>
      <c r="D535" s="115" t="s">
        <v>432</v>
      </c>
      <c r="E535" s="41"/>
      <c r="F535" s="70">
        <f>SUM(F532:F534)</f>
        <v>12679.08</v>
      </c>
      <c r="G535" s="70">
        <f t="shared" ref="G535:L535" si="38">SUM(G532:G534)</f>
        <v>5456.8099999999995</v>
      </c>
      <c r="H535" s="70">
        <f t="shared" si="38"/>
        <v>0</v>
      </c>
      <c r="I535" s="70">
        <f t="shared" si="38"/>
        <v>0</v>
      </c>
      <c r="J535" s="70">
        <f t="shared" si="38"/>
        <v>0</v>
      </c>
      <c r="K535" s="70">
        <f t="shared" si="38"/>
        <v>0</v>
      </c>
      <c r="L535" s="70">
        <f t="shared" si="38"/>
        <v>18135.89</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4"/>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4"/>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121885</v>
      </c>
      <c r="I542" s="18">
        <v>0</v>
      </c>
      <c r="J542" s="18">
        <v>0</v>
      </c>
      <c r="K542" s="18">
        <v>0</v>
      </c>
      <c r="L542" s="69">
        <f>SUM(F542:K542)</f>
        <v>121885</v>
      </c>
      <c r="M542" s="8"/>
      <c r="N542" s="164"/>
    </row>
    <row r="543" spans="1:14" s="3" customFormat="1" ht="12.2" customHeight="1" x14ac:dyDescent="0.15">
      <c r="A543" s="21" t="s">
        <v>634</v>
      </c>
      <c r="B543" s="22">
        <v>21</v>
      </c>
      <c r="C543" s="22">
        <v>18</v>
      </c>
      <c r="D543" s="2" t="s">
        <v>432</v>
      </c>
      <c r="E543" s="22"/>
      <c r="F543" s="18">
        <v>0</v>
      </c>
      <c r="G543" s="18">
        <v>0</v>
      </c>
      <c r="H543" s="18">
        <v>58.95</v>
      </c>
      <c r="I543" s="18">
        <v>0</v>
      </c>
      <c r="J543" s="18">
        <v>0</v>
      </c>
      <c r="K543" s="18">
        <v>0</v>
      </c>
      <c r="L543" s="69">
        <f>SUM(F543:K543)</f>
        <v>58.95</v>
      </c>
      <c r="M543" s="8"/>
      <c r="N543" s="164"/>
    </row>
    <row r="544" spans="1:14" s="3" customFormat="1" ht="12.2" customHeight="1" thickBot="1" x14ac:dyDescent="0.2">
      <c r="A544" s="21" t="s">
        <v>635</v>
      </c>
      <c r="B544" s="22">
        <v>21</v>
      </c>
      <c r="C544" s="22">
        <v>19</v>
      </c>
      <c r="D544" s="2" t="s">
        <v>432</v>
      </c>
      <c r="E544" s="22"/>
      <c r="F544" s="18">
        <v>0</v>
      </c>
      <c r="G544" s="18">
        <v>0</v>
      </c>
      <c r="H544" s="18">
        <v>4575.91</v>
      </c>
      <c r="I544" s="18">
        <v>0</v>
      </c>
      <c r="J544" s="18">
        <v>0</v>
      </c>
      <c r="K544" s="18">
        <v>0</v>
      </c>
      <c r="L544" s="69">
        <f>SUM(F544:K544)</f>
        <v>4575.91</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126519.86</v>
      </c>
      <c r="I545" s="140">
        <f t="shared" si="40"/>
        <v>0</v>
      </c>
      <c r="J545" s="140">
        <f t="shared" si="40"/>
        <v>0</v>
      </c>
      <c r="K545" s="140">
        <f t="shared" si="40"/>
        <v>0</v>
      </c>
      <c r="L545" s="140">
        <f t="shared" si="40"/>
        <v>126519.86</v>
      </c>
      <c r="M545" s="8"/>
      <c r="N545" s="164"/>
    </row>
    <row r="546" spans="1:14" s="3" customFormat="1" ht="12.2" customHeight="1" thickTop="1" x14ac:dyDescent="0.15">
      <c r="A546" s="75" t="s">
        <v>72</v>
      </c>
      <c r="B546" s="41">
        <v>21</v>
      </c>
      <c r="C546" s="41">
        <v>21</v>
      </c>
      <c r="D546" s="115" t="s">
        <v>432</v>
      </c>
      <c r="E546" s="41"/>
      <c r="F546" s="70">
        <f>F525+F530+F535+F540+F545</f>
        <v>402832.85000000003</v>
      </c>
      <c r="G546" s="70">
        <f t="shared" ref="G546:L546" si="41">G525+G530+G535+G540+G545</f>
        <v>155781.56</v>
      </c>
      <c r="H546" s="70">
        <f t="shared" si="41"/>
        <v>716405.47</v>
      </c>
      <c r="I546" s="70">
        <f t="shared" si="41"/>
        <v>3017.2200000000003</v>
      </c>
      <c r="J546" s="70">
        <f t="shared" si="41"/>
        <v>1346.63</v>
      </c>
      <c r="K546" s="70">
        <f t="shared" si="41"/>
        <v>0</v>
      </c>
      <c r="L546" s="70">
        <f t="shared" si="41"/>
        <v>1279383.73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459348.75</v>
      </c>
      <c r="G550" s="69">
        <f>L527</f>
        <v>198718.63</v>
      </c>
      <c r="H550" s="69">
        <f>L532</f>
        <v>18135.89</v>
      </c>
      <c r="I550" s="69">
        <f>L537</f>
        <v>0</v>
      </c>
      <c r="J550" s="69">
        <f>L542</f>
        <v>121885</v>
      </c>
      <c r="K550" s="69">
        <f>SUM(F550:J550)</f>
        <v>798088.27</v>
      </c>
      <c r="L550" s="23" t="s">
        <v>288</v>
      </c>
      <c r="M550" s="8"/>
      <c r="N550" s="164"/>
    </row>
    <row r="551" spans="1:14" s="3" customFormat="1" ht="12.2" customHeight="1" x14ac:dyDescent="0.15">
      <c r="A551" s="21" t="s">
        <v>634</v>
      </c>
      <c r="B551" s="22">
        <v>21</v>
      </c>
      <c r="C551" s="22">
        <v>23</v>
      </c>
      <c r="D551" s="2" t="s">
        <v>432</v>
      </c>
      <c r="E551" s="22"/>
      <c r="F551" s="69">
        <f>L523</f>
        <v>345734.13</v>
      </c>
      <c r="G551" s="69">
        <f>L528</f>
        <v>0</v>
      </c>
      <c r="H551" s="69">
        <f>L533</f>
        <v>0</v>
      </c>
      <c r="I551" s="69">
        <f>L538</f>
        <v>0</v>
      </c>
      <c r="J551" s="69">
        <f>L543</f>
        <v>58.95</v>
      </c>
      <c r="K551" s="69">
        <f>SUM(F551:J551)</f>
        <v>345793.08</v>
      </c>
      <c r="L551" s="23" t="s">
        <v>288</v>
      </c>
      <c r="M551" s="8"/>
      <c r="N551" s="164"/>
    </row>
    <row r="552" spans="1:14" s="3" customFormat="1" ht="12.2" customHeight="1" thickBot="1" x14ac:dyDescent="0.2">
      <c r="A552" s="21" t="s">
        <v>635</v>
      </c>
      <c r="B552" s="22">
        <v>21</v>
      </c>
      <c r="C552" s="22">
        <v>24</v>
      </c>
      <c r="D552" s="2" t="s">
        <v>432</v>
      </c>
      <c r="E552" s="22"/>
      <c r="F552" s="69">
        <f>L524</f>
        <v>130926.47</v>
      </c>
      <c r="G552" s="69">
        <f>L529</f>
        <v>0</v>
      </c>
      <c r="H552" s="69">
        <f>L534</f>
        <v>0</v>
      </c>
      <c r="I552" s="69">
        <f>L539</f>
        <v>0</v>
      </c>
      <c r="J552" s="69">
        <f>L544</f>
        <v>4575.91</v>
      </c>
      <c r="K552" s="69">
        <f>SUM(F552:J552)</f>
        <v>135502.38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936009.35</v>
      </c>
      <c r="G553" s="70">
        <f t="shared" si="42"/>
        <v>198718.63</v>
      </c>
      <c r="H553" s="70">
        <f t="shared" si="42"/>
        <v>18135.89</v>
      </c>
      <c r="I553" s="70">
        <f t="shared" si="42"/>
        <v>0</v>
      </c>
      <c r="J553" s="70">
        <f t="shared" si="42"/>
        <v>126519.86</v>
      </c>
      <c r="K553" s="70">
        <f t="shared" si="42"/>
        <v>1279383.73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4"/>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4"/>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4"/>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4"/>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4"/>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4"/>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0</v>
      </c>
      <c r="H576" s="18">
        <v>0</v>
      </c>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395342.5</v>
      </c>
      <c r="H577" s="18">
        <v>1196405.76</v>
      </c>
      <c r="I577" s="69">
        <f t="shared" ref="I577:I588" si="47">SUM(F577:H577)</f>
        <v>1591748.26</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8480</v>
      </c>
      <c r="G580" s="18">
        <v>0</v>
      </c>
      <c r="H580" s="18">
        <v>0</v>
      </c>
      <c r="I580" s="69">
        <f t="shared" si="47"/>
        <v>8480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203824.57</v>
      </c>
      <c r="H581" s="18">
        <v>108726.37</v>
      </c>
      <c r="I581" s="69">
        <f t="shared" si="47"/>
        <v>312550.94</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0</v>
      </c>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0</v>
      </c>
      <c r="G583" s="18">
        <v>120093.1</v>
      </c>
      <c r="H583" s="18">
        <v>0</v>
      </c>
      <c r="I583" s="69">
        <f t="shared" si="47"/>
        <v>120093.1</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v>0</v>
      </c>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v>0</v>
      </c>
      <c r="H588" s="53">
        <v>0</v>
      </c>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8480</v>
      </c>
      <c r="G589" s="79">
        <f t="shared" ref="G589:I589" si="48">SUM(G576:G588)</f>
        <v>719260.17</v>
      </c>
      <c r="H589" s="79">
        <f t="shared" si="48"/>
        <v>1305132.1299999999</v>
      </c>
      <c r="I589" s="79">
        <f t="shared" si="48"/>
        <v>2032872.3</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118153</v>
      </c>
      <c r="I592" s="18">
        <f>37809+8691.82</f>
        <v>46500.82</v>
      </c>
      <c r="J592" s="18">
        <f>81678.66+8691.83</f>
        <v>90370.49</v>
      </c>
      <c r="K592" s="80">
        <f t="shared" ref="K592:K598" si="49">SUM(H592:J592)</f>
        <v>255024.31</v>
      </c>
      <c r="L592" s="23" t="s">
        <v>288</v>
      </c>
      <c r="M592" s="8"/>
      <c r="N592" s="164"/>
    </row>
    <row r="593" spans="1:14" s="3" customFormat="1" ht="12.2" customHeight="1" x14ac:dyDescent="0.15">
      <c r="A593" s="3" t="s">
        <v>638</v>
      </c>
      <c r="B593" s="22">
        <v>23</v>
      </c>
      <c r="C593" s="22">
        <v>2</v>
      </c>
      <c r="D593" s="2" t="s">
        <v>432</v>
      </c>
      <c r="E593" s="22"/>
      <c r="F593" s="78">
        <v>2722</v>
      </c>
      <c r="G593" s="79" t="s">
        <v>97</v>
      </c>
      <c r="H593" s="18">
        <v>121885</v>
      </c>
      <c r="I593" s="18">
        <v>58.95</v>
      </c>
      <c r="J593" s="18">
        <v>4575.91</v>
      </c>
      <c r="K593" s="80">
        <f t="shared" si="49"/>
        <v>126519.86</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0</v>
      </c>
      <c r="J595" s="18">
        <v>0</v>
      </c>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1475.66</v>
      </c>
      <c r="I596" s="18">
        <v>0</v>
      </c>
      <c r="J596" s="18">
        <v>0</v>
      </c>
      <c r="K596" s="80">
        <f t="shared" si="49"/>
        <v>1475.66</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241513.66</v>
      </c>
      <c r="I599" s="81">
        <f>SUM(I592:I598)</f>
        <v>46559.77</v>
      </c>
      <c r="J599" s="81">
        <f>SUM(J592:J598)</f>
        <v>94946.400000000009</v>
      </c>
      <c r="K599" s="81">
        <f>SUM(K592:K598)</f>
        <v>383019.82999999996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101794.56</v>
      </c>
      <c r="I605" s="18">
        <v>0</v>
      </c>
      <c r="J605" s="18">
        <v>0</v>
      </c>
      <c r="K605" s="80">
        <f>SUM(H605:J605)</f>
        <v>101794.56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101794.56</v>
      </c>
      <c r="I606" s="81">
        <f>SUM(I603:I605)</f>
        <v>0</v>
      </c>
      <c r="J606" s="81">
        <f>SUM(J603:J605)</f>
        <v>0</v>
      </c>
      <c r="K606" s="81">
        <f>SUM(K603:K605)</f>
        <v>101794.56</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5801.6</v>
      </c>
      <c r="G612" s="18">
        <v>1517.89</v>
      </c>
      <c r="H612" s="18">
        <v>0</v>
      </c>
      <c r="I612" s="18">
        <v>2376</v>
      </c>
      <c r="J612" s="18">
        <v>0</v>
      </c>
      <c r="K612" s="18">
        <v>0</v>
      </c>
      <c r="L612" s="69">
        <f>SUM(F612:K612)</f>
        <v>9695.4900000000016</v>
      </c>
      <c r="M612" s="8"/>
      <c r="N612" s="164"/>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4"/>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5801.6</v>
      </c>
      <c r="G615" s="81">
        <f t="shared" si="50"/>
        <v>1517.89</v>
      </c>
      <c r="H615" s="81">
        <f t="shared" si="50"/>
        <v>0</v>
      </c>
      <c r="I615" s="81">
        <f t="shared" si="50"/>
        <v>2376</v>
      </c>
      <c r="J615" s="81">
        <f t="shared" si="50"/>
        <v>0</v>
      </c>
      <c r="K615" s="81">
        <f t="shared" si="50"/>
        <v>0</v>
      </c>
      <c r="L615" s="70">
        <f t="shared" si="50"/>
        <v>9695.4900000000016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1663958.4700000002</v>
      </c>
      <c r="H618" s="80">
        <f>SUM(F52)</f>
        <v>1663958.47</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721641.63</v>
      </c>
      <c r="H619" s="80">
        <f>SUM(G52)</f>
        <v>721641.63000000012</v>
      </c>
      <c r="I619" s="87" t="s">
        <v>872</v>
      </c>
      <c r="J619" s="80">
        <f>G619-H619</f>
        <v>0</v>
      </c>
      <c r="K619" s="80"/>
      <c r="L619" s="80"/>
      <c r="M619" s="8"/>
    </row>
    <row r="620" spans="1:14" s="3" customFormat="1" ht="12.2" customHeight="1" x14ac:dyDescent="0.15">
      <c r="A620" s="74"/>
      <c r="B620" s="22"/>
      <c r="C620" s="22"/>
      <c r="D620" s="22"/>
      <c r="E620" s="22"/>
      <c r="F620" s="87" t="s">
        <v>685</v>
      </c>
      <c r="G620" s="80">
        <f>SUM(H19)</f>
        <v>1205493.8700000001</v>
      </c>
      <c r="H620" s="80">
        <f>SUM(H52)</f>
        <v>1205493.8699999999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460313.22</v>
      </c>
      <c r="H622" s="80">
        <f>SUM(J52)</f>
        <v>460313.22</v>
      </c>
      <c r="I622" s="87" t="s">
        <v>875</v>
      </c>
      <c r="J622" s="80">
        <f>G622-H622</f>
        <v>0</v>
      </c>
      <c r="K622" s="80"/>
      <c r="L622" s="80"/>
      <c r="M622" s="8"/>
    </row>
    <row r="623" spans="1:14" s="3" customFormat="1" ht="12.2" customHeight="1" x14ac:dyDescent="0.15">
      <c r="A623" s="74"/>
      <c r="B623" s="22"/>
      <c r="C623" s="22"/>
      <c r="D623" s="22"/>
      <c r="E623" s="22"/>
      <c r="F623" s="87" t="s">
        <v>861</v>
      </c>
      <c r="G623" s="80">
        <f>F51</f>
        <v>268040.54000000004</v>
      </c>
      <c r="H623" s="80">
        <f>F477</f>
        <v>268040.54000000097</v>
      </c>
      <c r="I623" s="87" t="s">
        <v>101</v>
      </c>
      <c r="J623" s="80">
        <f t="shared" ref="J623:J656" si="51">G623-H623</f>
        <v>-9.3132257461547852E-10</v>
      </c>
      <c r="K623" s="80"/>
      <c r="L623" s="80"/>
      <c r="M623" s="8"/>
    </row>
    <row r="624" spans="1:14" s="3" customFormat="1" ht="12.2" customHeight="1" x14ac:dyDescent="0.15">
      <c r="A624" s="74"/>
      <c r="B624" s="22"/>
      <c r="C624" s="85"/>
      <c r="D624" s="85"/>
      <c r="E624" s="85"/>
      <c r="F624" s="85" t="s">
        <v>862</v>
      </c>
      <c r="G624" s="80">
        <f>G51</f>
        <v>25523.3</v>
      </c>
      <c r="H624" s="80">
        <f>G477</f>
        <v>25523.300000000003</v>
      </c>
      <c r="I624" s="87" t="s">
        <v>102</v>
      </c>
      <c r="J624" s="80">
        <f t="shared" si="51"/>
        <v>0</v>
      </c>
      <c r="K624" s="80"/>
      <c r="L624" s="80"/>
      <c r="M624" s="8"/>
    </row>
    <row r="625" spans="1:13" s="3" customFormat="1" ht="12.2" customHeight="1" x14ac:dyDescent="0.15">
      <c r="A625" s="74"/>
      <c r="B625" s="22"/>
      <c r="C625" s="22"/>
      <c r="D625" s="22"/>
      <c r="E625" s="22"/>
      <c r="F625" s="86" t="s">
        <v>863</v>
      </c>
      <c r="G625" s="80">
        <f>H51</f>
        <v>92.52</v>
      </c>
      <c r="H625" s="80">
        <f>H477</f>
        <v>92.520000000018626</v>
      </c>
      <c r="I625" s="87" t="s">
        <v>103</v>
      </c>
      <c r="J625" s="80">
        <f t="shared" si="51"/>
        <v>-1.8630430531629827E-11</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460313.22</v>
      </c>
      <c r="H627" s="80">
        <f>J477</f>
        <v>460313.21999999991</v>
      </c>
      <c r="I627" s="87" t="s">
        <v>105</v>
      </c>
      <c r="J627" s="80">
        <f t="shared" si="51"/>
        <v>0</v>
      </c>
      <c r="K627" s="67"/>
      <c r="L627" s="69"/>
      <c r="M627" s="8"/>
    </row>
    <row r="628" spans="1:13" s="3" customFormat="1" ht="12.2" customHeight="1" x14ac:dyDescent="0.15">
      <c r="A628" s="21"/>
      <c r="B628" s="22"/>
      <c r="C628" s="22"/>
      <c r="D628" s="22"/>
      <c r="E628" s="22"/>
      <c r="F628" s="86" t="s">
        <v>658</v>
      </c>
      <c r="G628" s="80">
        <f>F194</f>
        <v>5611855.6900000004</v>
      </c>
      <c r="H628" s="80">
        <f>SUM(F469)</f>
        <v>5611855.6900000004</v>
      </c>
      <c r="I628" s="87" t="s">
        <v>106</v>
      </c>
      <c r="J628" s="80">
        <f>G628-H628</f>
        <v>0</v>
      </c>
      <c r="K628" s="67"/>
      <c r="L628" s="69"/>
      <c r="M628" s="8"/>
    </row>
    <row r="629" spans="1:13" s="3" customFormat="1" ht="12.2" customHeight="1" x14ac:dyDescent="0.15">
      <c r="A629" s="21"/>
      <c r="B629" s="22"/>
      <c r="C629" s="22"/>
      <c r="D629" s="22"/>
      <c r="E629" s="22"/>
      <c r="F629" s="86" t="s">
        <v>659</v>
      </c>
      <c r="G629" s="80">
        <f>G194</f>
        <v>68029.600000000006</v>
      </c>
      <c r="H629" s="80">
        <f>SUM(G469)</f>
        <v>68029.600000000006</v>
      </c>
      <c r="I629" s="87" t="s">
        <v>107</v>
      </c>
      <c r="J629" s="80">
        <f>G629-H629</f>
        <v>0</v>
      </c>
      <c r="K629" s="67"/>
      <c r="L629" s="69"/>
      <c r="M629" s="8"/>
    </row>
    <row r="630" spans="1:13" s="3" customFormat="1" ht="12.2" customHeight="1" x14ac:dyDescent="0.15">
      <c r="A630" s="21"/>
      <c r="B630" s="22"/>
      <c r="C630" s="22"/>
      <c r="D630" s="22"/>
      <c r="E630" s="22"/>
      <c r="F630" s="86" t="s">
        <v>660</v>
      </c>
      <c r="G630" s="80">
        <f>H194</f>
        <v>220926.84999999998</v>
      </c>
      <c r="H630" s="80">
        <f>SUM(H469)</f>
        <v>220926.84999999998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75426.789999999994</v>
      </c>
      <c r="H632" s="80">
        <f>SUM(J469)</f>
        <v>75426.789999999994</v>
      </c>
      <c r="I632" s="87" t="s">
        <v>110</v>
      </c>
      <c r="J632" s="80">
        <f>G632-H632</f>
        <v>0</v>
      </c>
      <c r="K632" s="67"/>
      <c r="L632" s="69"/>
      <c r="M632" s="8"/>
    </row>
    <row r="633" spans="1:13" s="3" customFormat="1" ht="12.2" customHeight="1" x14ac:dyDescent="0.15">
      <c r="A633" s="21"/>
      <c r="B633" s="22"/>
      <c r="C633" s="22"/>
      <c r="D633" s="22"/>
      <c r="E633" s="22"/>
      <c r="F633" s="86" t="s">
        <v>394</v>
      </c>
      <c r="G633" s="80">
        <f>SUM(L272)</f>
        <v>5804225.5899999999</v>
      </c>
      <c r="H633" s="80">
        <f>SUM(F473)</f>
        <v>5804225.5899999999</v>
      </c>
      <c r="I633" s="87" t="s">
        <v>111</v>
      </c>
      <c r="J633" s="80">
        <f t="shared" si="51"/>
        <v>0</v>
      </c>
      <c r="K633" s="67"/>
      <c r="L633" s="69"/>
      <c r="M633" s="8"/>
    </row>
    <row r="634" spans="1:13" s="3" customFormat="1" ht="12.2" customHeight="1" x14ac:dyDescent="0.15">
      <c r="A634" s="21"/>
      <c r="B634" s="22"/>
      <c r="C634" s="22"/>
      <c r="D634" s="22"/>
      <c r="E634" s="22"/>
      <c r="F634" s="86" t="s">
        <v>395</v>
      </c>
      <c r="G634" s="80">
        <f>SUM(L353)</f>
        <v>220926.85</v>
      </c>
      <c r="H634" s="80">
        <f>SUM(H473)</f>
        <v>220926.84999999998</v>
      </c>
      <c r="I634" s="87" t="s">
        <v>112</v>
      </c>
      <c r="J634" s="80">
        <f>G634-H634</f>
        <v>0</v>
      </c>
      <c r="K634" s="67"/>
      <c r="L634" s="69"/>
      <c r="M634" s="8"/>
    </row>
    <row r="635" spans="1:13" s="124" customFormat="1" ht="12.2" customHeight="1" x14ac:dyDescent="0.15">
      <c r="A635" s="21"/>
      <c r="B635" s="22"/>
      <c r="C635" s="22"/>
      <c r="D635" s="22"/>
      <c r="E635" s="22"/>
      <c r="F635" s="99" t="s">
        <v>247</v>
      </c>
      <c r="G635" s="80">
        <f>I363</f>
        <v>4721.93</v>
      </c>
      <c r="H635" s="80">
        <f>I370</f>
        <v>4721.93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69662.92</v>
      </c>
      <c r="H636" s="80">
        <f>SUM(G473)</f>
        <v>69662.92</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75426.789999999994</v>
      </c>
      <c r="H638" s="108">
        <f>SUM(J469)</f>
        <v>75426.789999999994</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460313.22</v>
      </c>
      <c r="H640" s="80">
        <f>SUM(F462)</f>
        <v>460313.22</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460313.22</v>
      </c>
      <c r="H643" s="80">
        <f>SUM(I462)</f>
        <v>460313.22</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426.79</v>
      </c>
      <c r="H645" s="80">
        <f>H409</f>
        <v>426.79</v>
      </c>
      <c r="I645" s="87" t="s">
        <v>480</v>
      </c>
      <c r="J645" s="80">
        <f t="shared" si="51"/>
        <v>0</v>
      </c>
      <c r="K645" s="67"/>
      <c r="L645" s="69"/>
      <c r="M645" s="8"/>
    </row>
    <row r="646" spans="1:13" s="3" customFormat="1" ht="12.2" customHeight="1" x14ac:dyDescent="0.15">
      <c r="A646" s="21"/>
      <c r="B646" s="22"/>
      <c r="C646" s="22"/>
      <c r="D646" s="22"/>
      <c r="E646" s="22"/>
      <c r="F646" s="86" t="s">
        <v>664</v>
      </c>
      <c r="G646" s="80">
        <f>J184</f>
        <v>75000</v>
      </c>
      <c r="H646" s="80">
        <f>G409</f>
        <v>75000</v>
      </c>
      <c r="I646" s="87" t="s">
        <v>481</v>
      </c>
      <c r="J646" s="80">
        <f t="shared" si="51"/>
        <v>0</v>
      </c>
      <c r="K646" s="67"/>
      <c r="L646" s="69"/>
      <c r="M646" s="8"/>
    </row>
    <row r="647" spans="1:13" s="3" customFormat="1" ht="12.2" customHeight="1" x14ac:dyDescent="0.15">
      <c r="A647" s="21"/>
      <c r="B647" s="22"/>
      <c r="C647" s="22"/>
      <c r="D647" s="22"/>
      <c r="E647" s="22"/>
      <c r="F647" s="86" t="s">
        <v>662</v>
      </c>
      <c r="G647" s="80">
        <f>J194</f>
        <v>75426.789999999994</v>
      </c>
      <c r="H647" s="80">
        <f>L409</f>
        <v>75426.789999999994</v>
      </c>
      <c r="I647" s="87" t="s">
        <v>477</v>
      </c>
      <c r="J647" s="80">
        <f t="shared" si="51"/>
        <v>0</v>
      </c>
      <c r="K647" s="67"/>
      <c r="L647" s="69"/>
      <c r="M647" s="8"/>
    </row>
    <row r="648" spans="1:13" s="3" customFormat="1" ht="12.2" customHeight="1" x14ac:dyDescent="0.15">
      <c r="A648" s="21"/>
      <c r="B648" s="22"/>
      <c r="C648" s="22"/>
      <c r="D648" s="22"/>
      <c r="E648" s="22"/>
      <c r="F648" s="86" t="s">
        <v>51</v>
      </c>
      <c r="G648" s="80">
        <f>K599</f>
        <v>383019.82999999996</v>
      </c>
      <c r="H648" s="80">
        <f>L209+L227+L245</f>
        <v>383019.83</v>
      </c>
      <c r="I648" s="87" t="s">
        <v>396</v>
      </c>
      <c r="J648" s="80">
        <f t="shared" si="51"/>
        <v>0</v>
      </c>
      <c r="K648" s="67"/>
      <c r="L648" s="69"/>
      <c r="M648" s="8"/>
    </row>
    <row r="649" spans="1:13" s="3" customFormat="1" ht="12.2" customHeight="1" x14ac:dyDescent="0.15">
      <c r="A649" s="21"/>
      <c r="B649" s="22"/>
      <c r="C649" s="22"/>
      <c r="D649" s="22"/>
      <c r="E649" s="22"/>
      <c r="F649" s="86" t="s">
        <v>52</v>
      </c>
      <c r="G649" s="80">
        <f>K606</f>
        <v>101794.56</v>
      </c>
      <c r="H649" s="80">
        <f>(J258+J339)-(J256+J337)</f>
        <v>101794.56</v>
      </c>
      <c r="I649" s="87" t="s">
        <v>699</v>
      </c>
      <c r="J649" s="80">
        <f t="shared" si="51"/>
        <v>0</v>
      </c>
      <c r="K649" s="67"/>
      <c r="L649" s="69"/>
      <c r="M649" s="8"/>
    </row>
    <row r="650" spans="1:13" s="3" customFormat="1" ht="12.2" customHeight="1" x14ac:dyDescent="0.15">
      <c r="A650" s="21"/>
      <c r="B650" s="22"/>
      <c r="C650" s="22"/>
      <c r="D650" s="22"/>
      <c r="E650" s="22"/>
      <c r="F650" s="86" t="s">
        <v>387</v>
      </c>
      <c r="G650" s="80">
        <f>L209</f>
        <v>241513.66</v>
      </c>
      <c r="H650" s="80">
        <f>H599</f>
        <v>241513.66</v>
      </c>
      <c r="I650" s="87" t="s">
        <v>388</v>
      </c>
      <c r="J650" s="80">
        <f t="shared" si="51"/>
        <v>0</v>
      </c>
      <c r="K650" s="67"/>
      <c r="L650" s="69"/>
      <c r="M650" s="8"/>
    </row>
    <row r="651" spans="1:13" s="3" customFormat="1" ht="12.2" customHeight="1" x14ac:dyDescent="0.15">
      <c r="A651" s="21"/>
      <c r="B651" s="22"/>
      <c r="C651" s="22"/>
      <c r="D651" s="22"/>
      <c r="E651" s="22"/>
      <c r="F651" s="86" t="s">
        <v>392</v>
      </c>
      <c r="G651" s="80">
        <f>L227</f>
        <v>46559.77</v>
      </c>
      <c r="H651" s="80">
        <f>I599</f>
        <v>46559.77</v>
      </c>
      <c r="I651" s="87" t="s">
        <v>389</v>
      </c>
      <c r="J651" s="80">
        <f t="shared" si="51"/>
        <v>0</v>
      </c>
      <c r="K651" s="67"/>
      <c r="L651" s="69"/>
      <c r="M651" s="8"/>
    </row>
    <row r="652" spans="1:13" s="3" customFormat="1" ht="12.2" customHeight="1" x14ac:dyDescent="0.15">
      <c r="A652" s="21"/>
      <c r="B652" s="22"/>
      <c r="C652" s="22"/>
      <c r="D652" s="22"/>
      <c r="E652" s="22"/>
      <c r="F652" s="86" t="s">
        <v>393</v>
      </c>
      <c r="G652" s="80">
        <f>L245</f>
        <v>94946.400000000009</v>
      </c>
      <c r="H652" s="80">
        <f>J599</f>
        <v>94946.400000000009</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75000</v>
      </c>
      <c r="H656" s="80">
        <f>K267+K348</f>
        <v>75000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3797840.0300000003</v>
      </c>
      <c r="G661" s="13">
        <f>(L230+L310+L360)</f>
        <v>793666.55</v>
      </c>
      <c r="H661" s="13">
        <f>(L248+L329+L361)</f>
        <v>1428308.7799999998</v>
      </c>
      <c r="I661" s="13">
        <f>SUM(F661:H661)</f>
        <v>6019815.3599999994</v>
      </c>
      <c r="J661" s="13"/>
      <c r="K661" s="13"/>
      <c r="L661" s="13"/>
      <c r="M661" s="9"/>
    </row>
    <row r="662" spans="1:13" s="3" customFormat="1" ht="12.2" customHeight="1" x14ac:dyDescent="0.2">
      <c r="A662" s="1" t="s">
        <v>127</v>
      </c>
      <c r="F662" s="13">
        <f>(L359/IF(SUM(L359:L361)=0,1,SUM(L359:L361))*(SUM(G97:G110)))</f>
        <v>30129.250000000007</v>
      </c>
      <c r="G662" s="13">
        <f>(L360/IF(SUM(L359:L361)=0,1,SUM(L359:L361))*(SUM(G97:G110)))</f>
        <v>0</v>
      </c>
      <c r="H662" s="13">
        <f>(L361/IF(SUM(L359:L361)=0,1,SUM(L359:L361))*(SUM(G97:G110)))</f>
        <v>0</v>
      </c>
      <c r="I662" s="13">
        <f>SUM(F662:H662)</f>
        <v>30129.250000000007</v>
      </c>
      <c r="J662"/>
      <c r="K662" s="13"/>
      <c r="L662" s="13"/>
      <c r="M662" s="8"/>
    </row>
    <row r="663" spans="1:13" s="3" customFormat="1" ht="12.2" customHeight="1" x14ac:dyDescent="0.2">
      <c r="A663" s="1" t="s">
        <v>128</v>
      </c>
      <c r="F663" s="13">
        <f>(L209+L288)-(J209+J288)</f>
        <v>241513.66</v>
      </c>
      <c r="G663" s="13">
        <f>(L227+L307)-(J227+J307)</f>
        <v>46559.77</v>
      </c>
      <c r="H663" s="13">
        <f>(L245+L326)-(J245+J326)</f>
        <v>94946.400000000009</v>
      </c>
      <c r="I663" s="13">
        <f>SUM(F663:H663)</f>
        <v>383019.83</v>
      </c>
      <c r="J663"/>
      <c r="K663" s="13"/>
      <c r="L663" s="13"/>
      <c r="M663" s="9"/>
    </row>
    <row r="664" spans="1:13" s="3" customFormat="1" ht="12.2" customHeight="1" x14ac:dyDescent="0.15">
      <c r="A664" s="141" t="s">
        <v>129</v>
      </c>
      <c r="B664" s="124"/>
      <c r="C664" s="124"/>
      <c r="D664" s="124"/>
      <c r="E664" s="124"/>
      <c r="F664" s="142">
        <f>SUM(F576:F588)+SUM(H603:H605)+SUM(L612)</f>
        <v>119970.05</v>
      </c>
      <c r="G664" s="142">
        <f>SUM(G576:G588)+SUM(I603:I605)+L613</f>
        <v>719260.17</v>
      </c>
      <c r="H664" s="142">
        <f>SUM(H576:H588)+SUM(J603:J605)+L614</f>
        <v>1305132.1299999999</v>
      </c>
      <c r="I664" s="13">
        <f>SUM(F664:H664)</f>
        <v>2144362.35</v>
      </c>
      <c r="J664" s="13"/>
      <c r="K664" s="13"/>
      <c r="L664" s="13"/>
      <c r="M664" s="9"/>
    </row>
    <row r="665" spans="1:13" s="3" customFormat="1" ht="12.2" customHeight="1" x14ac:dyDescent="0.15">
      <c r="A665" s="1" t="s">
        <v>130</v>
      </c>
      <c r="F665" s="13">
        <f>F661-SUM(F662:F664)</f>
        <v>3406227.0700000003</v>
      </c>
      <c r="G665" s="13">
        <f>G661-SUM(G662:G664)</f>
        <v>27846.609999999986</v>
      </c>
      <c r="H665" s="13">
        <f>H661-SUM(H662:H664)</f>
        <v>28230.25</v>
      </c>
      <c r="I665" s="13">
        <f>I661-SUM(I662:I664)</f>
        <v>3462303.9299999992</v>
      </c>
      <c r="J665" s="13"/>
      <c r="K665" s="13"/>
      <c r="L665" s="13"/>
      <c r="M665" s="8"/>
    </row>
    <row r="666" spans="1:13" s="3" customFormat="1" ht="12.2" customHeight="1" x14ac:dyDescent="0.2">
      <c r="A666" s="1" t="s">
        <v>131</v>
      </c>
      <c r="F666" s="182">
        <v>144.19999999999999</v>
      </c>
      <c r="G666" s="183"/>
      <c r="H666" s="183"/>
      <c r="I666" s="13">
        <f>SUM(F666:H666)</f>
        <v>144.19999999999999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23621.55</v>
      </c>
      <c r="G668" s="13" t="e">
        <f>ROUND(G665/G666,2)</f>
        <v>#DIV/0!</v>
      </c>
      <c r="H668" s="13" t="e">
        <f>ROUND(H665/H666,2)</f>
        <v>#DIV/0!</v>
      </c>
      <c r="I668" s="13">
        <f>ROUND(I665/I666,2)</f>
        <v>24010.43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f t="shared" si="52"/>
        <v>-27846.609999999986</v>
      </c>
      <c r="H670" s="73">
        <f t="shared" si="52"/>
        <v>-28230.25</v>
      </c>
      <c r="I670" s="13">
        <f>SUM(F670:H670)</f>
        <v>-56076.859999999986</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23621.55</v>
      </c>
      <c r="G673" s="13" t="e">
        <f>ROUND((G665+G670)/(G666+G671),2)</f>
        <v>#DIV/0!</v>
      </c>
      <c r="H673" s="13" t="e">
        <f>ROUND((H665+H670)/(H666+H671),2)</f>
        <v>#DIV/0!</v>
      </c>
      <c r="I673" s="13">
        <f>ROUND((I665+I670)/(I666+I671),2)</f>
        <v>23621.55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17807.180000000004</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2647.47+650+411.18+999+3000+43.7+56.33</f>
        <v>7807.6799999999994</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f>8056.69+1942.81</f>
        <v>9999.5</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53"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Rollinsford</v>
      </c>
      <c r="C5" s="321"/>
      <c r="D5" s="321"/>
      <c r="E5" s="321"/>
      <c r="F5" s="321"/>
    </row>
    <row r="8" spans="1:9" ht="18" x14ac:dyDescent="0.25">
      <c r="A8" s="239" t="s">
        <v>1548</v>
      </c>
      <c r="F8" s="246" t="s">
        <v>1566</v>
      </c>
    </row>
    <row r="9" spans="1:9" ht="15" x14ac:dyDescent="0.2">
      <c r="A9" s="237" t="s">
        <v>1549</v>
      </c>
      <c r="B9" s="240">
        <f>'DOE25'!G97</f>
        <v>30129.250000000007</v>
      </c>
      <c r="F9" s="237" t="s">
        <v>1562</v>
      </c>
    </row>
    <row r="10" spans="1:9" ht="15" x14ac:dyDescent="0.2">
      <c r="A10" s="237" t="s">
        <v>1550</v>
      </c>
      <c r="B10" s="240">
        <f>'DOE25'!G112-'DOE25'!G97</f>
        <v>0</v>
      </c>
      <c r="F10" s="237" t="s">
        <v>1563</v>
      </c>
    </row>
    <row r="11" spans="1:9" ht="15" x14ac:dyDescent="0.2">
      <c r="A11" s="237" t="s">
        <v>1551</v>
      </c>
      <c r="B11" s="240">
        <f>'DOE25'!G140</f>
        <v>760.87</v>
      </c>
      <c r="F11" s="237" t="s">
        <v>1564</v>
      </c>
    </row>
    <row r="12" spans="1:9" ht="15" x14ac:dyDescent="0.2">
      <c r="A12" s="237" t="s">
        <v>1552</v>
      </c>
      <c r="B12" s="240">
        <f>'DOE25'!G170</f>
        <v>37139.480000000003</v>
      </c>
      <c r="F12" s="237" t="s">
        <v>1565</v>
      </c>
    </row>
    <row r="13" spans="1:9" ht="15" x14ac:dyDescent="0.2">
      <c r="A13" s="237" t="s">
        <v>1553</v>
      </c>
      <c r="B13" s="240">
        <f>'DOE25'!G193-'DOE25'!G180</f>
        <v>0</v>
      </c>
      <c r="F13" s="237" t="s">
        <v>1575</v>
      </c>
    </row>
    <row r="14" spans="1:9" ht="18" x14ac:dyDescent="0.25">
      <c r="A14" s="239" t="s">
        <v>732</v>
      </c>
      <c r="B14" s="241">
        <f>SUM(B9:B13)</f>
        <v>68029.600000000006</v>
      </c>
    </row>
    <row r="16" spans="1:9" ht="18" x14ac:dyDescent="0.25">
      <c r="A16" s="239" t="s">
        <v>783</v>
      </c>
      <c r="F16" s="246" t="s">
        <v>1567</v>
      </c>
    </row>
    <row r="17" spans="1:6" ht="15" x14ac:dyDescent="0.2">
      <c r="A17" s="237" t="s">
        <v>1554</v>
      </c>
      <c r="B17" s="240">
        <f>'DOE25'!L363-'DOE25'!L362</f>
        <v>69662.92</v>
      </c>
      <c r="F17" s="237" t="s">
        <v>1568</v>
      </c>
    </row>
    <row r="18" spans="1:6" ht="15" x14ac:dyDescent="0.2">
      <c r="A18" s="237" t="s">
        <v>1555</v>
      </c>
      <c r="B18" s="250">
        <v>0</v>
      </c>
      <c r="F18" s="246" t="s">
        <v>1592</v>
      </c>
    </row>
    <row r="19" spans="1:6" ht="18" x14ac:dyDescent="0.25">
      <c r="A19" s="239" t="s">
        <v>725</v>
      </c>
      <c r="B19" s="241">
        <f>SUM(B17:B18)</f>
        <v>69662.92</v>
      </c>
    </row>
    <row r="21" spans="1:6" ht="18.75" thickBot="1" x14ac:dyDescent="0.3">
      <c r="A21" s="239" t="s">
        <v>1556</v>
      </c>
    </row>
    <row r="22" spans="1:6" ht="18.75" thickTop="1" x14ac:dyDescent="0.25">
      <c r="A22" s="239" t="s">
        <v>1557</v>
      </c>
      <c r="B22" s="245">
        <f>B14-B19</f>
        <v>-1633.3199999999924</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28814.62</v>
      </c>
      <c r="F31" s="237" t="s">
        <v>1572</v>
      </c>
    </row>
    <row r="33" spans="1:6" ht="15" x14ac:dyDescent="0.2">
      <c r="A33" s="237" t="s">
        <v>1790</v>
      </c>
      <c r="B33" s="240">
        <f>'DOE25'!G477</f>
        <v>25523.300000000003</v>
      </c>
      <c r="F33" s="237" t="s">
        <v>1573</v>
      </c>
    </row>
    <row r="36" spans="1:6" ht="15" x14ac:dyDescent="0.2">
      <c r="A36" s="237" t="s">
        <v>1559</v>
      </c>
      <c r="B36" s="251">
        <v>4640.9799999999996</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Rollinsford</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917813.73</v>
      </c>
      <c r="C9" s="166">
        <f>'DOE25'!G198+'DOE25'!G216+'DOE25'!G234+'DOE25'!G277+'DOE25'!G296+'DOE25'!G315</f>
        <v>439324.85000000003</v>
      </c>
    </row>
    <row r="10" spans="1:3" x14ac:dyDescent="0.2">
      <c r="A10" t="s">
        <v>772</v>
      </c>
      <c r="B10" s="176">
        <f>745945.57+15237.02+45044+11949.57</f>
        <v>818176.15999999992</v>
      </c>
      <c r="C10" s="176">
        <f>1150.73+2856.75+193.6+123.5+3445.86+899.22+2346.83+190458.43+2657.93+2356.49+1411.84+796.02+55083.81+128580.71+590.88</f>
        <v>392952.6</v>
      </c>
    </row>
    <row r="11" spans="1:3" x14ac:dyDescent="0.2">
      <c r="A11" t="s">
        <v>773</v>
      </c>
      <c r="B11" s="176">
        <f>55872.37+22052.7</f>
        <v>77925.070000000007</v>
      </c>
      <c r="C11" s="176">
        <f>601.65+5.67+5.13+92.21+4265.35+1687.11+4843.38+2983.71</f>
        <v>14484.21</v>
      </c>
    </row>
    <row r="12" spans="1:3" x14ac:dyDescent="0.2">
      <c r="A12" t="s">
        <v>774</v>
      </c>
      <c r="B12" s="176">
        <f>20712.5+1000</f>
        <v>21712.5</v>
      </c>
      <c r="C12" s="176">
        <f>235.31+1584.67+73.21+135.27+29859.58</f>
        <v>31888.04</v>
      </c>
    </row>
    <row r="13" spans="1:3" x14ac:dyDescent="0.2">
      <c r="A13" t="str">
        <f>IF(B9=B13,IF(C9=C13,"Check Total OK","Check Total Error"),"Check Total Error")</f>
        <v>Check Total OK</v>
      </c>
      <c r="B13" s="168">
        <f>SUM(B10:B12)</f>
        <v>917813.73</v>
      </c>
      <c r="C13" s="168">
        <f>SUM(C10:C12)</f>
        <v>439324.85</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320698.85000000003</v>
      </c>
      <c r="C18" s="166">
        <f>'DOE25'!G199+'DOE25'!G217+'DOE25'!G235+'DOE25'!G278+'DOE25'!G297+'DOE25'!G316</f>
        <v>118485.64</v>
      </c>
    </row>
    <row r="19" spans="1:3" x14ac:dyDescent="0.2">
      <c r="A19" t="s">
        <v>772</v>
      </c>
      <c r="B19" s="176">
        <v>105489.46</v>
      </c>
      <c r="C19" s="176">
        <f>41808.33+846+195.6+115.9+7558.17+20718.42</f>
        <v>71242.42</v>
      </c>
    </row>
    <row r="20" spans="1:3" x14ac:dyDescent="0.2">
      <c r="A20" t="s">
        <v>773</v>
      </c>
      <c r="B20" s="176">
        <f>29345.65+180244.66</f>
        <v>209590.31</v>
      </c>
      <c r="C20" s="176">
        <f>71.7+436.89+2245.01+13548.99+443.83+3951.62+24368.31+1074.06</f>
        <v>46140.41</v>
      </c>
    </row>
    <row r="21" spans="1:3" x14ac:dyDescent="0.2">
      <c r="A21" t="s">
        <v>774</v>
      </c>
      <c r="B21" s="176">
        <v>5619.08</v>
      </c>
      <c r="C21" s="176">
        <f>388.6+714.21</f>
        <v>1102.81</v>
      </c>
    </row>
    <row r="22" spans="1:3" x14ac:dyDescent="0.2">
      <c r="A22" t="str">
        <f>IF(B18=B22,IF(C18=C22,"Check Total OK","Check Total Error"),"Check Total Error")</f>
        <v>Check Total OK</v>
      </c>
      <c r="B22" s="168">
        <f>SUM(B19:B21)</f>
        <v>320698.85000000003</v>
      </c>
      <c r="C22" s="168">
        <f>SUM(C19:C21)</f>
        <v>118485.64</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v>0</v>
      </c>
      <c r="C28" s="176">
        <v>0</v>
      </c>
    </row>
    <row r="29" spans="1:3" x14ac:dyDescent="0.2">
      <c r="A29" t="s">
        <v>773</v>
      </c>
      <c r="B29" s="176">
        <v>0</v>
      </c>
      <c r="C29" s="176">
        <v>0</v>
      </c>
    </row>
    <row r="30" spans="1:3" x14ac:dyDescent="0.2">
      <c r="A30" t="s">
        <v>774</v>
      </c>
      <c r="B30" s="176">
        <v>0</v>
      </c>
      <c r="C30" s="176">
        <v>0</v>
      </c>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6959</v>
      </c>
      <c r="C36" s="172">
        <f>'DOE25'!G201+'DOE25'!G219+'DOE25'!G237+'DOE25'!G280+'DOE25'!G299+'DOE25'!G318</f>
        <v>1418.8700000000001</v>
      </c>
    </row>
    <row r="37" spans="1:3" x14ac:dyDescent="0.2">
      <c r="A37" t="s">
        <v>772</v>
      </c>
      <c r="B37" s="176">
        <v>0</v>
      </c>
      <c r="C37" s="176">
        <v>0</v>
      </c>
    </row>
    <row r="38" spans="1:3" x14ac:dyDescent="0.2">
      <c r="A38" t="s">
        <v>773</v>
      </c>
      <c r="B38" s="176">
        <v>0</v>
      </c>
      <c r="C38" s="176">
        <v>0</v>
      </c>
    </row>
    <row r="39" spans="1:3" x14ac:dyDescent="0.2">
      <c r="A39" t="s">
        <v>774</v>
      </c>
      <c r="B39" s="176">
        <f>5459+1500</f>
        <v>6959</v>
      </c>
      <c r="C39" s="176">
        <f>1101.17+317.7</f>
        <v>1418.8700000000001</v>
      </c>
    </row>
    <row r="40" spans="1:3" x14ac:dyDescent="0.2">
      <c r="A40" t="str">
        <f>IF(B36=B40,IF(C36=C40,"Check Total OK","Check Total Error"),"Check Total Error")</f>
        <v>Check Total OK</v>
      </c>
      <c r="B40" s="168">
        <f>SUM(B37:B39)</f>
        <v>6959</v>
      </c>
      <c r="C40" s="168">
        <f>SUM(C37:C39)</f>
        <v>1418.8700000000001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Q29" sqref="Q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Rollinsford</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3952900.3800000004</v>
      </c>
      <c r="D5" s="19">
        <f>SUM('DOE25'!L198:L201)+SUM('DOE25'!L216:L219)+SUM('DOE25'!L234:L237)-F5-G5-H5</f>
        <v>3911494.43</v>
      </c>
      <c r="E5" s="179"/>
      <c r="F5" s="180">
        <v>5000</v>
      </c>
      <c r="G5" s="19">
        <f>SUM('DOE25'!J198:J201)+SUM('DOE25'!J216:J219)+SUM('DOE25'!J234:J237)</f>
        <v>32657.95</v>
      </c>
      <c r="H5" s="19">
        <f>SUM('DOE25'!K198:K201)+SUM('DOE25'!K216:K219)+SUM('DOE25'!K234:K237)</f>
        <v>3748</v>
      </c>
      <c r="I5" s="191"/>
    </row>
    <row r="6" spans="1:9" x14ac:dyDescent="0.2">
      <c r="A6" s="31">
        <v>2100</v>
      </c>
      <c r="B6" t="s">
        <v>793</v>
      </c>
      <c r="C6" s="205">
        <f t="shared" si="0"/>
        <v>398926.12</v>
      </c>
      <c r="D6" s="19">
        <f>'DOE25'!L203+'DOE25'!L221+'DOE25'!L239-F6-G6-H6</f>
        <v>367918.88</v>
      </c>
      <c r="E6" s="179"/>
      <c r="F6" s="180">
        <v>30182.240000000002</v>
      </c>
      <c r="G6" s="19">
        <f>'DOE25'!J203+'DOE25'!J221+'DOE25'!J239</f>
        <v>825</v>
      </c>
      <c r="H6" s="19">
        <f>'DOE25'!K203+'DOE25'!K221+'DOE25'!K239</f>
        <v>0</v>
      </c>
      <c r="I6" s="191"/>
    </row>
    <row r="7" spans="1:9" x14ac:dyDescent="0.2">
      <c r="A7" s="31">
        <v>2200</v>
      </c>
      <c r="B7" t="s">
        <v>817</v>
      </c>
      <c r="C7" s="205">
        <f t="shared" si="0"/>
        <v>77509.069999999992</v>
      </c>
      <c r="D7" s="19">
        <f>'DOE25'!L204+'DOE25'!L222+'DOE25'!L240-F7-G7-H7</f>
        <v>74572.689999999988</v>
      </c>
      <c r="E7" s="179"/>
      <c r="F7" s="180">
        <v>0</v>
      </c>
      <c r="G7" s="19">
        <f>'DOE25'!J204+'DOE25'!J222+'DOE25'!J240</f>
        <v>1094.33</v>
      </c>
      <c r="H7" s="19">
        <f>'DOE25'!K204+'DOE25'!K222+'DOE25'!K240</f>
        <v>1842.05</v>
      </c>
      <c r="I7" s="191"/>
    </row>
    <row r="8" spans="1:9" x14ac:dyDescent="0.2">
      <c r="A8" s="31">
        <v>2300</v>
      </c>
      <c r="B8" t="s">
        <v>794</v>
      </c>
      <c r="C8" s="205">
        <f t="shared" si="0"/>
        <v>229202.15000000002</v>
      </c>
      <c r="D8" s="179"/>
      <c r="E8" s="19">
        <f>'DOE25'!L205+'DOE25'!L223+'DOE25'!L241-F8-G8-H8-D9-D11</f>
        <v>225136.2</v>
      </c>
      <c r="F8" s="180">
        <v>0</v>
      </c>
      <c r="G8" s="19">
        <f>'DOE25'!J205+'DOE25'!J223+'DOE25'!J241</f>
        <v>0</v>
      </c>
      <c r="H8" s="19">
        <f>'DOE25'!K205+'DOE25'!K223+'DOE25'!K241</f>
        <v>4065.9500000000003</v>
      </c>
      <c r="I8" s="191"/>
    </row>
    <row r="9" spans="1:9" ht="14.25" x14ac:dyDescent="0.2">
      <c r="A9" s="31">
        <v>2310</v>
      </c>
      <c r="B9" s="71" t="s">
        <v>884</v>
      </c>
      <c r="C9" s="205">
        <f t="shared" si="0"/>
        <v>15532.690000000002</v>
      </c>
      <c r="D9" s="180">
        <f>3259.3+10346.78+1806.61+120</f>
        <v>15532.690000000002</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v>0</v>
      </c>
      <c r="E11" s="179"/>
      <c r="F11" s="179"/>
      <c r="G11" s="179"/>
      <c r="H11" s="179"/>
      <c r="I11" s="191"/>
    </row>
    <row r="12" spans="1:9" x14ac:dyDescent="0.2">
      <c r="A12" s="31">
        <v>2400</v>
      </c>
      <c r="B12" t="s">
        <v>711</v>
      </c>
      <c r="C12" s="205">
        <f t="shared" si="0"/>
        <v>219295.84999999998</v>
      </c>
      <c r="D12" s="19">
        <f>'DOE25'!L206+'DOE25'!L224+'DOE25'!L242-F12-G12-H12</f>
        <v>218235.84999999998</v>
      </c>
      <c r="E12" s="179"/>
      <c r="F12" s="180">
        <v>0</v>
      </c>
      <c r="G12" s="19">
        <f>'DOE25'!J206+'DOE25'!J224+'DOE25'!J242</f>
        <v>350</v>
      </c>
      <c r="H12" s="19">
        <f>'DOE25'!K206+'DOE25'!K224+'DOE25'!K242</f>
        <v>710</v>
      </c>
      <c r="I12" s="191"/>
    </row>
    <row r="13" spans="1:9" x14ac:dyDescent="0.2">
      <c r="A13" s="31">
        <v>2500</v>
      </c>
      <c r="B13" t="s">
        <v>795</v>
      </c>
      <c r="C13" s="205">
        <f t="shared" si="0"/>
        <v>0</v>
      </c>
      <c r="D13" s="179"/>
      <c r="E13" s="19">
        <f>'DOE25'!L207+'DOE25'!L225+'DOE25'!L243-F13-G13-H13</f>
        <v>0</v>
      </c>
      <c r="F13" s="180">
        <v>0</v>
      </c>
      <c r="G13" s="19">
        <f>'DOE25'!J207+'DOE25'!J225+'DOE25'!J243</f>
        <v>0</v>
      </c>
      <c r="H13" s="19">
        <f>'DOE25'!K207+'DOE25'!K225+'DOE25'!K243</f>
        <v>0</v>
      </c>
      <c r="I13" s="191"/>
    </row>
    <row r="14" spans="1:9" x14ac:dyDescent="0.2">
      <c r="A14" s="31">
        <v>2600</v>
      </c>
      <c r="B14" t="s">
        <v>815</v>
      </c>
      <c r="C14" s="205">
        <f t="shared" si="0"/>
        <v>445171.97</v>
      </c>
      <c r="D14" s="19">
        <f>'DOE25'!L208+'DOE25'!L226+'DOE25'!L244-F14-G14-H14</f>
        <v>382631.74</v>
      </c>
      <c r="E14" s="179"/>
      <c r="F14" s="180">
        <v>32982.5</v>
      </c>
      <c r="G14" s="19">
        <f>'DOE25'!J208+'DOE25'!J226+'DOE25'!J244</f>
        <v>29557.73</v>
      </c>
      <c r="H14" s="19">
        <f>'DOE25'!K208+'DOE25'!K226+'DOE25'!K244</f>
        <v>0</v>
      </c>
      <c r="I14" s="191"/>
    </row>
    <row r="15" spans="1:9" x14ac:dyDescent="0.2">
      <c r="A15" s="31">
        <v>2700</v>
      </c>
      <c r="B15" t="s">
        <v>796</v>
      </c>
      <c r="C15" s="205">
        <f t="shared" si="0"/>
        <v>383019.83</v>
      </c>
      <c r="D15" s="19">
        <f>'DOE25'!L209+'DOE25'!L227+'DOE25'!L245-F15-G15-H15</f>
        <v>43552.910000000033</v>
      </c>
      <c r="E15" s="179"/>
      <c r="F15" s="180">
        <v>339466.92</v>
      </c>
      <c r="G15" s="19">
        <f>'DOE25'!J209+'DOE25'!J227+'DOE25'!J245</f>
        <v>0</v>
      </c>
      <c r="H15" s="19">
        <f>'DOE25'!K209+'DOE25'!K227+'DOE25'!K245</f>
        <v>0</v>
      </c>
      <c r="I15" s="191"/>
    </row>
    <row r="16" spans="1:9" x14ac:dyDescent="0.2">
      <c r="A16" s="31">
        <v>2800</v>
      </c>
      <c r="B16" t="s">
        <v>797</v>
      </c>
      <c r="C16" s="205">
        <f t="shared" si="0"/>
        <v>7667.5300000000007</v>
      </c>
      <c r="D16" s="179"/>
      <c r="E16" s="19">
        <f>'DOE25'!L210+'DOE25'!L228+'DOE25'!L246-F16-G16-H16</f>
        <v>0</v>
      </c>
      <c r="F16" s="180">
        <v>0</v>
      </c>
      <c r="G16" s="19">
        <f>'DOE25'!J210+'DOE25'!J228+'DOE25'!J246</f>
        <v>945.93</v>
      </c>
      <c r="H16" s="19">
        <f>'DOE25'!K210+'DOE25'!K228+'DOE25'!K246</f>
        <v>6721.6</v>
      </c>
      <c r="I16" s="191"/>
    </row>
    <row r="17" spans="1:9" x14ac:dyDescent="0.2">
      <c r="A17" s="31">
        <v>1600</v>
      </c>
      <c r="B17" t="s">
        <v>798</v>
      </c>
      <c r="C17" s="205">
        <f t="shared" si="0"/>
        <v>0</v>
      </c>
      <c r="D17" s="19">
        <f>'DOE25'!L252-F17-G17-H17</f>
        <v>0</v>
      </c>
      <c r="E17" s="179"/>
      <c r="F17" s="180">
        <v>0</v>
      </c>
      <c r="G17" s="19">
        <f>'DOE25'!J252</f>
        <v>0</v>
      </c>
      <c r="H17" s="19">
        <f>'DOE25'!K252</f>
        <v>0</v>
      </c>
      <c r="I17" s="191"/>
    </row>
    <row r="18" spans="1:9" x14ac:dyDescent="0.2">
      <c r="A18" s="31">
        <v>1700</v>
      </c>
      <c r="B18" t="s">
        <v>799</v>
      </c>
      <c r="C18" s="205">
        <f t="shared" si="0"/>
        <v>0</v>
      </c>
      <c r="D18" s="19">
        <f>'DOE25'!L253-F18-G18-H18</f>
        <v>0</v>
      </c>
      <c r="E18" s="179"/>
      <c r="F18" s="180">
        <v>0</v>
      </c>
      <c r="G18" s="19">
        <f>'DOE25'!J253</f>
        <v>0</v>
      </c>
      <c r="H18" s="19">
        <f>'DOE25'!K253</f>
        <v>0</v>
      </c>
      <c r="I18" s="191"/>
    </row>
    <row r="19" spans="1:9" x14ac:dyDescent="0.2">
      <c r="A19" s="31">
        <v>1800</v>
      </c>
      <c r="B19" t="s">
        <v>800</v>
      </c>
      <c r="C19" s="205">
        <f t="shared" si="0"/>
        <v>0</v>
      </c>
      <c r="D19" s="19">
        <f>'DOE25'!L254-F19-G19-H19</f>
        <v>0</v>
      </c>
      <c r="E19" s="179"/>
      <c r="F19" s="180">
        <v>0</v>
      </c>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45641.820000000007</v>
      </c>
      <c r="D29" s="211">
        <f>'DOE25'!L359+'DOE25'!L360+'DOE25'!L361-'DOE25'!I368-F29-G29-H29-F39</f>
        <v>39199.820000000007</v>
      </c>
      <c r="E29" s="179"/>
      <c r="F29" s="179"/>
      <c r="G29" s="19">
        <f>'DOE25'!J359+'DOE25'!J360+'DOE25'!J361</f>
        <v>6442</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220926.85</v>
      </c>
      <c r="D31" s="19">
        <f>'DOE25'!L291+'DOE25'!L310+'DOE25'!L329+'DOE25'!L334+'DOE25'!L335+'DOE25'!L336-F31-G31-H31</f>
        <v>176374.06</v>
      </c>
      <c r="E31" s="179"/>
      <c r="F31" s="180">
        <v>8189.17</v>
      </c>
      <c r="G31" s="19">
        <f>'DOE25'!J291+'DOE25'!J310+'DOE25'!J329+'DOE25'!J334+'DOE25'!J335+'DOE25'!J336</f>
        <v>36363.620000000003</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5229513.0700000012</v>
      </c>
      <c r="E33" s="181">
        <f t="shared" si="1"/>
        <v>225136.2</v>
      </c>
      <c r="F33" s="181">
        <f t="shared" si="1"/>
        <v>415820.82999999996</v>
      </c>
      <c r="G33" s="181">
        <f t="shared" si="1"/>
        <v>108236.56</v>
      </c>
      <c r="H33" s="181">
        <f t="shared" si="1"/>
        <v>17087.599999999999</v>
      </c>
      <c r="I33" s="181">
        <f t="shared" si="1"/>
        <v>0</v>
      </c>
    </row>
    <row r="34" spans="1:9" ht="12" thickBot="1" x14ac:dyDescent="0.25"/>
    <row r="35" spans="1:9" ht="12" thickBot="1" x14ac:dyDescent="0.25">
      <c r="B35" s="187" t="s">
        <v>827</v>
      </c>
      <c r="D35" s="188">
        <f>E33</f>
        <v>225136.2</v>
      </c>
      <c r="E35" s="184"/>
      <c r="F35" s="294" t="s">
        <v>1596</v>
      </c>
      <c r="G35" s="295"/>
      <c r="H35" s="295"/>
      <c r="I35" s="296"/>
    </row>
    <row r="36" spans="1:9" ht="12" thickTop="1" x14ac:dyDescent="0.2">
      <c r="B36" t="s">
        <v>807</v>
      </c>
      <c r="D36" s="19">
        <f>D33</f>
        <v>5229513.0700000012</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22573.26</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Q7" sqref="Q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Rollinsford</v>
      </c>
      <c r="B2">
        <f>'DOE25'!B2</f>
        <v>463</v>
      </c>
      <c r="J2" s="223" t="s">
        <v>1799</v>
      </c>
      <c r="K2" s="308">
        <f>SUM('DOE25'!L198:L201)+SUM('DOE25'!L277:L280)</f>
        <v>2039252.7800000003</v>
      </c>
      <c r="L2" s="308">
        <f>'DOE25'!L203+'DOE25'!L282</f>
        <v>396829.89999999997</v>
      </c>
      <c r="M2" s="308">
        <f>'DOE25'!L204+'DOE25'!L283</f>
        <v>92625.579999999987</v>
      </c>
      <c r="N2" s="308">
        <f>'DOE25'!L206+'DOE25'!L285</f>
        <v>222295.84999999998</v>
      </c>
      <c r="O2" s="316">
        <f>'Salaries-Benefits'!B10+'Salaries-Benefits'!B12+'Salaries-Benefits'!B19+'Salaries-Benefits'!B21+'Salaries-Benefits'!B28+'Salaries-Benefits'!B30+'Salaries-Benefits'!B37+'Salaries-Benefits'!B39</f>
        <v>957956.19999999984</v>
      </c>
      <c r="P2" s="316">
        <f>'Salaries-Benefits'!B11+'Salaries-Benefits'!B20+'Salaries-Benefits'!B29+'Salaries-Benefits'!B38</f>
        <v>287515.38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3728177.11</v>
      </c>
      <c r="G4" s="228">
        <f>'DOE25'!L212+'DOE25'!L291</f>
        <v>3728177.1100000003</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8480</v>
      </c>
      <c r="E5" s="219">
        <v>0</v>
      </c>
      <c r="F5" s="231">
        <f>D5+E5</f>
        <v>8480</v>
      </c>
      <c r="G5" s="222"/>
      <c r="H5" s="222"/>
      <c r="J5" s="71" t="s">
        <v>1840</v>
      </c>
      <c r="K5" s="20">
        <v>0</v>
      </c>
      <c r="L5" s="20">
        <v>0</v>
      </c>
      <c r="M5" s="20">
        <v>0</v>
      </c>
      <c r="N5" s="20">
        <v>0</v>
      </c>
      <c r="O5" s="20">
        <v>0</v>
      </c>
      <c r="P5" s="20">
        <v>0</v>
      </c>
      <c r="Q5" s="20">
        <v>0</v>
      </c>
    </row>
    <row r="6" spans="1:22" x14ac:dyDescent="0.2">
      <c r="A6" t="str" cm="1">
        <f t="array" ref="A6">IFERROR(INDEX('School Tables'!$A$4:$G$365,'School Tables'!$J4,3),"")</f>
        <v>Rollinsford Grade School</v>
      </c>
      <c r="B6" s="229">
        <f>IFERROR(VLOOKUP(A6,'School Tables'!$C$3:$D$365,2,FALSE),"")</f>
        <v>22810</v>
      </c>
      <c r="C6" s="222" t="str">
        <f>IFERROR(INDEX('School Tables'!$B$3:$B$365,MATCH('School Level Expenditures'!B6,'School Tables'!$D$3:$D$365,0)),"")</f>
        <v>Rollinsford</v>
      </c>
      <c r="D6" s="219">
        <f>3507250.25-8480+56.33</f>
        <v>3498826.58</v>
      </c>
      <c r="E6" s="219">
        <v>220870.53</v>
      </c>
      <c r="F6" s="231">
        <f t="shared" ref="F6:F20" si="2">D6+E6</f>
        <v>3719697.11</v>
      </c>
      <c r="G6" s="222"/>
      <c r="H6" s="222"/>
      <c r="J6" t="str">
        <f t="shared" ref="J6:J20" si="3">A6</f>
        <v>Rollinsford Grade School</v>
      </c>
      <c r="K6" s="20">
        <f>1386314.43+459348.75+6560.17+1817.7+19244.5+61217.62+21239.04+8056.69+40684.61+29859.58+590.88+1942.81+2376</f>
        <v>2039252.78</v>
      </c>
      <c r="L6" s="20">
        <f>108543.33+113566.58+108286.87+56469.04+7316.61+2647.47</f>
        <v>396829.89999999997</v>
      </c>
      <c r="M6" s="307">
        <f>13000+650+411.18+999+73121.23+4387.84+56.33</f>
        <v>92625.58</v>
      </c>
      <c r="N6" s="20">
        <f>3000+219295.85</f>
        <v>222295.85</v>
      </c>
      <c r="O6" s="20">
        <v>957956.2</v>
      </c>
      <c r="P6" s="20">
        <v>287515.38</v>
      </c>
      <c r="Q6" s="20">
        <v>0</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3507306.58</v>
      </c>
      <c r="E21" s="261">
        <f>SUM(E5:E20)</f>
        <v>220870.53</v>
      </c>
      <c r="F21" s="216"/>
      <c r="G21" s="216"/>
      <c r="H21" s="216"/>
      <c r="K21" s="262">
        <f t="shared" ref="K21:Q21" si="4">SUM(K5:K20)</f>
        <v>2039252.78</v>
      </c>
      <c r="L21" s="262">
        <f t="shared" si="4"/>
        <v>396829.89999999997</v>
      </c>
      <c r="M21" s="262">
        <f t="shared" si="4"/>
        <v>92625.58</v>
      </c>
      <c r="N21" s="262">
        <f t="shared" si="4"/>
        <v>222295.85</v>
      </c>
      <c r="O21" s="262">
        <f t="shared" si="4"/>
        <v>957956.2</v>
      </c>
      <c r="P21" s="262">
        <f t="shared" si="4"/>
        <v>287515.38</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741076.63</v>
      </c>
      <c r="L23" s="19">
        <f>'DOE25'!L221+'DOE25'!L301</f>
        <v>6030.15</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793666.55</v>
      </c>
      <c r="G25" s="228">
        <f>'DOE25'!L230+'DOE25'!L310</f>
        <v>793666.55</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793666.55</v>
      </c>
      <c r="E26" s="219">
        <v>0</v>
      </c>
      <c r="F26" s="231">
        <f>D26+E26</f>
        <v>793666.55</v>
      </c>
      <c r="G26" s="222"/>
      <c r="H26" s="222"/>
      <c r="J26" s="71" t="s">
        <v>1840</v>
      </c>
      <c r="K26" s="315">
        <f>395342.5+345734.13</f>
        <v>741076.63</v>
      </c>
      <c r="L26" s="315">
        <v>6030.15</v>
      </c>
      <c r="M26" s="315">
        <v>0</v>
      </c>
      <c r="N26" s="315">
        <v>0</v>
      </c>
      <c r="O26" s="315">
        <v>0</v>
      </c>
      <c r="P26" s="315">
        <v>0</v>
      </c>
      <c r="Q26" s="315">
        <v>0</v>
      </c>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793666.55</v>
      </c>
      <c r="E34" s="261">
        <f>SUM(E26:E33)</f>
        <v>0</v>
      </c>
      <c r="F34" s="216"/>
      <c r="G34" s="216"/>
      <c r="H34" s="216"/>
      <c r="K34" s="262">
        <f t="shared" ref="K34:Q34" si="8">SUM(K26:K33)</f>
        <v>741076.63</v>
      </c>
      <c r="L34" s="262">
        <f t="shared" si="8"/>
        <v>6030.15</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1327332.23</v>
      </c>
      <c r="L36" s="19">
        <f>'DOE25'!L239+'DOE25'!L320</f>
        <v>6030.15</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1428308.78</v>
      </c>
      <c r="G38" s="228">
        <f>'DOE25'!L248+'DOE25'!L329</f>
        <v>1428308.7799999998</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1437000.6-8691.82</f>
        <v>1428308.78</v>
      </c>
      <c r="E39" s="219">
        <v>0</v>
      </c>
      <c r="F39" s="231">
        <f t="shared" ref="F39:F44" si="10">D39+E39</f>
        <v>1428308.78</v>
      </c>
      <c r="G39" s="222"/>
      <c r="H39" s="222"/>
      <c r="J39" s="71" t="s">
        <v>1840</v>
      </c>
      <c r="K39" s="315">
        <f>1196405.76+130926.47</f>
        <v>1327332.23</v>
      </c>
      <c r="L39" s="315">
        <v>6030.15</v>
      </c>
      <c r="M39" s="315">
        <v>0</v>
      </c>
      <c r="N39" s="315">
        <v>0</v>
      </c>
      <c r="O39" s="315">
        <v>0</v>
      </c>
      <c r="P39" s="315">
        <v>0</v>
      </c>
      <c r="Q39" s="315">
        <v>0</v>
      </c>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1428308.78</v>
      </c>
      <c r="E45" s="262">
        <f>SUM(E39:E44)</f>
        <v>0</v>
      </c>
      <c r="K45" s="262">
        <f t="shared" ref="K45:Q45" si="11">SUM(K39:K44)</f>
        <v>1327332.23</v>
      </c>
      <c r="L45" s="262">
        <f t="shared" si="11"/>
        <v>6030.15</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0" zoomScale="80" zoomScaleNormal="80" workbookViewId="0">
      <selection activeCell="H157" sqref="H15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Rollinsford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407935.04</v>
      </c>
      <c r="D8" s="73">
        <f>'DOE25'!G9</f>
        <v>0</v>
      </c>
      <c r="E8" s="73">
        <f>'DOE25'!H9</f>
        <v>0</v>
      </c>
      <c r="F8" s="73">
        <f>'DOE25'!I9</f>
        <v>0</v>
      </c>
      <c r="G8" s="73">
        <f>'DOE25'!J9</f>
        <v>0</v>
      </c>
      <c r="H8" s="13">
        <f>SUM(C8:G8)</f>
        <v>407935.04</v>
      </c>
      <c r="I8" s="90"/>
    </row>
    <row r="9" spans="1:9" x14ac:dyDescent="0.2">
      <c r="A9" s="1" t="s">
        <v>140</v>
      </c>
      <c r="B9" s="6">
        <v>110</v>
      </c>
      <c r="C9" s="73">
        <f>'DOE25'!F10</f>
        <v>0</v>
      </c>
      <c r="D9" s="73">
        <f>'DOE25'!G10</f>
        <v>0</v>
      </c>
      <c r="E9" s="73">
        <f>'DOE25'!H10</f>
        <v>0</v>
      </c>
      <c r="F9" s="73">
        <f>'DOE25'!I10</f>
        <v>0</v>
      </c>
      <c r="G9" s="73">
        <f>'DOE25'!J10</f>
        <v>460313.22</v>
      </c>
      <c r="H9" s="13">
        <f t="shared" ref="H9:H18" si="0">SUM(C9:G9)</f>
        <v>460313.22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1255803.4300000002</v>
      </c>
      <c r="D11" s="73">
        <f>'DOE25'!G12</f>
        <v>708593.72</v>
      </c>
      <c r="E11" s="73">
        <f>'DOE25'!H12</f>
        <v>1116868.29</v>
      </c>
      <c r="F11" s="73">
        <f>'DOE25'!I12</f>
        <v>0</v>
      </c>
      <c r="G11" s="73">
        <f>'DOE25'!J12</f>
        <v>0</v>
      </c>
      <c r="H11" s="13">
        <f t="shared" si="0"/>
        <v>3081265.4400000004</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220</v>
      </c>
      <c r="D13" s="73">
        <f>'DOE25'!G14</f>
        <v>13047.91</v>
      </c>
      <c r="E13" s="73">
        <f>'DOE25'!H14</f>
        <v>88625.58</v>
      </c>
      <c r="F13" s="73">
        <f>'DOE25'!I14</f>
        <v>0</v>
      </c>
      <c r="G13" s="73">
        <f>'DOE25'!J14</f>
        <v>0</v>
      </c>
      <c r="H13" s="13">
        <f t="shared" si="0"/>
        <v>101893.49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1663958.4700000002</v>
      </c>
      <c r="D18" s="38">
        <f>SUM(D8:D17)</f>
        <v>721641.63</v>
      </c>
      <c r="E18" s="38">
        <f>SUM(E8:E17)</f>
        <v>1205493.8700000001</v>
      </c>
      <c r="F18" s="38">
        <f>SUM(F8:F17)</f>
        <v>0</v>
      </c>
      <c r="G18" s="38">
        <f>SUM(G8:G17)</f>
        <v>460313.22</v>
      </c>
      <c r="H18" s="38">
        <f t="shared" si="0"/>
        <v>4051407.1900000004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1222556.95</v>
      </c>
      <c r="D21" s="73">
        <f>'DOE25'!G22</f>
        <v>668594.68000000005</v>
      </c>
      <c r="E21" s="73">
        <f>'DOE25'!H22</f>
        <v>1185969.8799999999</v>
      </c>
      <c r="F21" s="73">
        <f>'DOE25'!I22</f>
        <v>0</v>
      </c>
      <c r="G21" s="73">
        <f>'DOE25'!J22</f>
        <v>0</v>
      </c>
      <c r="H21" s="13">
        <f t="shared" ref="H21:H31" si="1">SUM(C21:G21)</f>
        <v>3077121.51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97291.74</v>
      </c>
      <c r="D23" s="73">
        <f>'DOE25'!G24</f>
        <v>19730.990000000002</v>
      </c>
      <c r="E23" s="73">
        <f>'DOE25'!H24</f>
        <v>19431.47</v>
      </c>
      <c r="F23" s="73">
        <f>'DOE25'!I24</f>
        <v>0</v>
      </c>
      <c r="G23" s="73">
        <f>'DOE25'!J24</f>
        <v>0</v>
      </c>
      <c r="H23" s="13">
        <f t="shared" si="1"/>
        <v>136454.20000000001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76069.240000000005</v>
      </c>
      <c r="D28" s="73">
        <f>'DOE25'!G29</f>
        <v>0</v>
      </c>
      <c r="E28" s="73">
        <f>'DOE25'!H29</f>
        <v>0</v>
      </c>
      <c r="F28" s="73">
        <f>'DOE25'!I29</f>
        <v>0</v>
      </c>
      <c r="G28" s="23" t="s">
        <v>288</v>
      </c>
      <c r="H28" s="13">
        <f t="shared" si="1"/>
        <v>76069.240000000005</v>
      </c>
      <c r="I28" s="90"/>
    </row>
    <row r="29" spans="1:9" x14ac:dyDescent="0.2">
      <c r="A29" s="1" t="s">
        <v>158</v>
      </c>
      <c r="B29" s="6">
        <v>480</v>
      </c>
      <c r="C29" s="73">
        <f>'DOE25'!F30</f>
        <v>0</v>
      </c>
      <c r="D29" s="73">
        <f>'DOE25'!G30</f>
        <v>7792.66</v>
      </c>
      <c r="E29" s="73">
        <f>'DOE25'!H30</f>
        <v>0</v>
      </c>
      <c r="F29" s="73">
        <f>'DOE25'!I30</f>
        <v>0</v>
      </c>
      <c r="G29" s="23" t="s">
        <v>288</v>
      </c>
      <c r="H29" s="13">
        <f t="shared" si="1"/>
        <v>7792.66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1395917.93</v>
      </c>
      <c r="D31" s="38">
        <f>SUM(D21:D30)</f>
        <v>696118.33000000007</v>
      </c>
      <c r="E31" s="38">
        <f>SUM(E21:E30)</f>
        <v>1205401.3499999999</v>
      </c>
      <c r="F31" s="38">
        <f>SUM(F21:F30)</f>
        <v>0</v>
      </c>
      <c r="G31" s="38">
        <f>SUM(G21:G30)</f>
        <v>0</v>
      </c>
      <c r="H31" s="38">
        <f t="shared" si="1"/>
        <v>3297437.61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85001</v>
      </c>
      <c r="D43" s="73">
        <f>'DOE25'!G44</f>
        <v>0</v>
      </c>
      <c r="E43" s="73">
        <f>'DOE25'!H44</f>
        <v>0</v>
      </c>
      <c r="F43" s="73">
        <f>'DOE25'!I44</f>
        <v>0</v>
      </c>
      <c r="G43" s="23" t="s">
        <v>288</v>
      </c>
      <c r="H43" s="13">
        <f t="shared" si="2"/>
        <v>85001</v>
      </c>
      <c r="I43" s="90"/>
    </row>
    <row r="44" spans="1:9" x14ac:dyDescent="0.2">
      <c r="A44" s="1" t="s">
        <v>860</v>
      </c>
      <c r="B44" s="6">
        <v>753</v>
      </c>
      <c r="C44" s="73">
        <f>'DOE25'!F45</f>
        <v>0</v>
      </c>
      <c r="D44" s="73">
        <f>'DOE25'!G45</f>
        <v>0</v>
      </c>
      <c r="E44" s="73">
        <f>'DOE25'!H45</f>
        <v>92.74</v>
      </c>
      <c r="F44" s="73">
        <f>'DOE25'!I45</f>
        <v>0</v>
      </c>
      <c r="G44" s="73">
        <f>'DOE25'!J45</f>
        <v>0</v>
      </c>
      <c r="H44" s="13">
        <f t="shared" si="2"/>
        <v>92.74</v>
      </c>
      <c r="I44" s="90"/>
    </row>
    <row r="45" spans="1:9" x14ac:dyDescent="0.2">
      <c r="A45" s="1" t="s">
        <v>876</v>
      </c>
      <c r="B45" s="6"/>
      <c r="C45" s="73">
        <f>'DOE25'!F46</f>
        <v>121790</v>
      </c>
      <c r="D45" s="23" t="s">
        <v>288</v>
      </c>
      <c r="E45" s="23" t="s">
        <v>288</v>
      </c>
      <c r="F45" s="23" t="s">
        <v>288</v>
      </c>
      <c r="G45" s="23" t="s">
        <v>288</v>
      </c>
      <c r="H45" s="13">
        <f t="shared" si="2"/>
        <v>121790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25523.3</v>
      </c>
      <c r="E47" s="73">
        <f>'DOE25'!H48</f>
        <v>-0.22</v>
      </c>
      <c r="F47" s="73">
        <f>'DOE25'!I48</f>
        <v>0</v>
      </c>
      <c r="G47" s="73">
        <f>'DOE25'!J48</f>
        <v>460313.22</v>
      </c>
      <c r="H47" s="13">
        <f t="shared" si="2"/>
        <v>485836.3</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61249.540000000008</v>
      </c>
      <c r="D49" s="23" t="s">
        <v>288</v>
      </c>
      <c r="E49" s="23" t="s">
        <v>288</v>
      </c>
      <c r="F49" s="23" t="s">
        <v>288</v>
      </c>
      <c r="G49" s="23" t="s">
        <v>288</v>
      </c>
      <c r="H49" s="13">
        <f t="shared" si="2"/>
        <v>61249.540000000008</v>
      </c>
      <c r="I49" s="90"/>
    </row>
    <row r="50" spans="1:9" ht="12.75" thickTop="1" thickBot="1" x14ac:dyDescent="0.25">
      <c r="A50" s="35" t="s">
        <v>880</v>
      </c>
      <c r="B50" s="44"/>
      <c r="C50" s="38">
        <f>SUM(C34:C49)</f>
        <v>268040.54000000004</v>
      </c>
      <c r="D50" s="38">
        <f>SUM(D34:D49)</f>
        <v>25523.3</v>
      </c>
      <c r="E50" s="38">
        <f>SUM(E34:E49)</f>
        <v>92.52</v>
      </c>
      <c r="F50" s="38">
        <f>SUM(F34:F49)</f>
        <v>0</v>
      </c>
      <c r="G50" s="38">
        <f>SUM(G34:G49)</f>
        <v>460313.22</v>
      </c>
      <c r="H50" s="38">
        <f t="shared" si="2"/>
        <v>753969.58000000007</v>
      </c>
      <c r="I50" s="90"/>
    </row>
    <row r="51" spans="1:9" ht="12" thickTop="1" x14ac:dyDescent="0.2">
      <c r="A51" s="35" t="s">
        <v>881</v>
      </c>
      <c r="B51" s="2"/>
      <c r="C51" s="38">
        <f>C50+C31</f>
        <v>1663958.47</v>
      </c>
      <c r="D51" s="38">
        <f>D50+D31</f>
        <v>721641.63000000012</v>
      </c>
      <c r="E51" s="38">
        <f>E50+E31</f>
        <v>1205493.8699999999</v>
      </c>
      <c r="F51" s="38">
        <f>F50+F31</f>
        <v>0</v>
      </c>
      <c r="G51" s="38">
        <f>G50+G31</f>
        <v>460313.22</v>
      </c>
      <c r="H51" s="38">
        <f t="shared" si="2"/>
        <v>4051407.1899999995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4307852</v>
      </c>
      <c r="D56" s="73">
        <f>'DOE25'!G60</f>
        <v>0</v>
      </c>
      <c r="E56" s="73">
        <f>'DOE25'!H60</f>
        <v>0</v>
      </c>
      <c r="F56" s="73">
        <f>'DOE25'!I60</f>
        <v>0</v>
      </c>
      <c r="G56" s="73">
        <f>'DOE25'!J60</f>
        <v>0</v>
      </c>
      <c r="H56" s="13">
        <f t="shared" ref="H56:H63" si="3">SUM(C56:G56)</f>
        <v>4307852</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135.36000000000001</v>
      </c>
      <c r="D59" s="73">
        <f>'DOE25'!G96</f>
        <v>0</v>
      </c>
      <c r="E59" s="73">
        <f>'DOE25'!H96</f>
        <v>0</v>
      </c>
      <c r="F59" s="73">
        <f>'DOE25'!I96</f>
        <v>0</v>
      </c>
      <c r="G59" s="73">
        <f>'DOE25'!J96</f>
        <v>426.79</v>
      </c>
      <c r="H59" s="13">
        <f t="shared" si="3"/>
        <v>562.15000000000009</v>
      </c>
      <c r="I59"/>
    </row>
    <row r="60" spans="1:9" x14ac:dyDescent="0.2">
      <c r="A60" s="1" t="s">
        <v>170</v>
      </c>
      <c r="B60" s="22" t="s">
        <v>171</v>
      </c>
      <c r="C60" s="23" t="s">
        <v>288</v>
      </c>
      <c r="D60" s="73">
        <f>'DOE25'!G97</f>
        <v>30129.250000000007</v>
      </c>
      <c r="E60" s="23" t="s">
        <v>288</v>
      </c>
      <c r="F60" s="23" t="s">
        <v>288</v>
      </c>
      <c r="G60" s="23" t="s">
        <v>288</v>
      </c>
      <c r="H60" s="13">
        <f t="shared" si="3"/>
        <v>30129.250000000007</v>
      </c>
      <c r="I60"/>
    </row>
    <row r="61" spans="1:9" ht="12" thickBot="1" x14ac:dyDescent="0.25">
      <c r="A61" s="1" t="s">
        <v>172</v>
      </c>
      <c r="B61" s="22" t="s">
        <v>173</v>
      </c>
      <c r="C61" s="73">
        <f>SUM('DOE25'!F98:F110)</f>
        <v>10497</v>
      </c>
      <c r="D61" s="73">
        <f>SUM('DOE25'!G98:G110)</f>
        <v>0</v>
      </c>
      <c r="E61" s="73">
        <f>SUM('DOE25'!H98:H110)</f>
        <v>0</v>
      </c>
      <c r="F61" s="73">
        <f>SUM('DOE25'!I98:I110)</f>
        <v>0</v>
      </c>
      <c r="G61" s="73">
        <f>SUM('DOE25'!J98:J110)</f>
        <v>0</v>
      </c>
      <c r="H61" s="13">
        <f t="shared" si="3"/>
        <v>10497</v>
      </c>
      <c r="I61"/>
    </row>
    <row r="62" spans="1:9" ht="12.75" thickTop="1" thickBot="1" x14ac:dyDescent="0.25">
      <c r="A62" s="28" t="s">
        <v>174</v>
      </c>
      <c r="B62" s="6"/>
      <c r="C62" s="93">
        <f>SUM(C57:C61)</f>
        <v>10632.36</v>
      </c>
      <c r="D62" s="93">
        <f>SUM(D57:D61)</f>
        <v>30129.250000000007</v>
      </c>
      <c r="E62" s="93">
        <f>SUM(E57:E61)</f>
        <v>0</v>
      </c>
      <c r="F62" s="93">
        <f>SUM(F57:F61)</f>
        <v>0</v>
      </c>
      <c r="G62" s="93">
        <f>SUM(G57:G61)</f>
        <v>426.79</v>
      </c>
      <c r="H62" s="13">
        <f t="shared" si="3"/>
        <v>41188.400000000009</v>
      </c>
      <c r="I62"/>
    </row>
    <row r="63" spans="1:9" ht="12" thickTop="1" x14ac:dyDescent="0.2">
      <c r="A63" s="28" t="s">
        <v>175</v>
      </c>
      <c r="B63" s="6"/>
      <c r="C63" s="21">
        <f>C56+C62</f>
        <v>4318484.3600000003</v>
      </c>
      <c r="D63" s="21">
        <f>D56+D62</f>
        <v>30129.250000000007</v>
      </c>
      <c r="E63" s="21">
        <f>E56+E62</f>
        <v>0</v>
      </c>
      <c r="F63" s="21">
        <f>F56+F62</f>
        <v>0</v>
      </c>
      <c r="G63" s="21">
        <f>G56+G62</f>
        <v>426.79</v>
      </c>
      <c r="H63" s="13">
        <f t="shared" si="3"/>
        <v>4349040.4000000004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727555.22</v>
      </c>
      <c r="D66" s="23" t="s">
        <v>288</v>
      </c>
      <c r="E66" s="23" t="s">
        <v>288</v>
      </c>
      <c r="F66" s="23" t="s">
        <v>288</v>
      </c>
      <c r="G66" s="23" t="s">
        <v>288</v>
      </c>
      <c r="H66" s="13">
        <f t="shared" ref="H66:H81" si="4">SUM(C66:G66)</f>
        <v>727555.22</v>
      </c>
      <c r="I66"/>
    </row>
    <row r="67" spans="1:9" x14ac:dyDescent="0.2">
      <c r="A67" s="1" t="s">
        <v>767</v>
      </c>
      <c r="B67" s="6">
        <v>3112</v>
      </c>
      <c r="C67" s="73">
        <f>'DOE25'!F118</f>
        <v>563779</v>
      </c>
      <c r="D67" s="23"/>
      <c r="E67" s="23"/>
      <c r="F67" s="23"/>
      <c r="G67" s="23"/>
      <c r="H67" s="13">
        <f t="shared" si="4"/>
        <v>563779</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2037.11</v>
      </c>
      <c r="D69" s="73">
        <f>'DOE25'!G120</f>
        <v>0</v>
      </c>
      <c r="E69" s="73">
        <f>'DOE25'!H120</f>
        <v>0</v>
      </c>
      <c r="F69" s="73">
        <f>'DOE25'!I120</f>
        <v>0</v>
      </c>
      <c r="G69" s="73">
        <f>'DOE25'!J120</f>
        <v>0</v>
      </c>
      <c r="H69" s="13">
        <f t="shared" si="4"/>
        <v>2037.11</v>
      </c>
      <c r="I69"/>
    </row>
    <row r="70" spans="1:9" ht="12" thickTop="1" x14ac:dyDescent="0.2">
      <c r="A70" s="28" t="s">
        <v>252</v>
      </c>
      <c r="B70" s="2"/>
      <c r="C70" s="97">
        <f>SUM(C66:C69)</f>
        <v>1293371.33</v>
      </c>
      <c r="D70" s="97">
        <f>D69</f>
        <v>0</v>
      </c>
      <c r="E70" s="97">
        <f>E69</f>
        <v>0</v>
      </c>
      <c r="F70" s="97">
        <f>F69</f>
        <v>0</v>
      </c>
      <c r="G70" s="97">
        <f>G69</f>
        <v>0</v>
      </c>
      <c r="H70" s="13">
        <f t="shared" si="4"/>
        <v>1293371.33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760.87</v>
      </c>
      <c r="E77" s="73">
        <f>SUM('DOE25'!H131:H135)</f>
        <v>0</v>
      </c>
      <c r="F77" s="73">
        <f>SUM('DOE25'!I131:I135)</f>
        <v>0</v>
      </c>
      <c r="G77" s="73">
        <f>SUM('DOE25'!J131:J135)</f>
        <v>0</v>
      </c>
      <c r="H77" s="13">
        <f t="shared" si="4"/>
        <v>760.87</v>
      </c>
      <c r="I77"/>
    </row>
    <row r="78" spans="1:9" ht="12.75" thickTop="1" thickBot="1" x14ac:dyDescent="0.25">
      <c r="A78" s="28" t="s">
        <v>259</v>
      </c>
      <c r="B78" s="6"/>
      <c r="C78" s="93">
        <f>SUM(C72:C77)</f>
        <v>0</v>
      </c>
      <c r="D78" s="93">
        <f>SUM(D72:D77)</f>
        <v>760.87</v>
      </c>
      <c r="E78" s="93">
        <f>SUM(E72:E77)</f>
        <v>0</v>
      </c>
      <c r="F78" s="93">
        <f>SUM(F72:F77)</f>
        <v>0</v>
      </c>
      <c r="G78" s="93">
        <f>SUM(G72:G77)</f>
        <v>0</v>
      </c>
      <c r="H78" s="13">
        <f t="shared" si="4"/>
        <v>760.87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1293371.33</v>
      </c>
      <c r="D81" s="93">
        <f>SUM(D79:D80)+D78+D70</f>
        <v>760.87</v>
      </c>
      <c r="E81" s="93">
        <f>SUM(E79:E80)+E78+E70</f>
        <v>0</v>
      </c>
      <c r="F81" s="93">
        <f>SUM(F79:F80)+F78+F70</f>
        <v>0</v>
      </c>
      <c r="G81" s="93">
        <f>SUM(G79:G80)+G78+G70</f>
        <v>0</v>
      </c>
      <c r="H81" s="93">
        <f t="shared" si="4"/>
        <v>1294132.2000000002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37139.480000000003</v>
      </c>
      <c r="E88" s="252">
        <f>SUM('DOE25'!H153:H162)</f>
        <v>220926.84999999998</v>
      </c>
      <c r="F88" s="252">
        <f>SUM('DOE25'!I153:I162)</f>
        <v>0</v>
      </c>
      <c r="G88" s="23" t="s">
        <v>288</v>
      </c>
      <c r="H88" s="13">
        <f t="shared" si="5"/>
        <v>258066.33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37139.480000000003</v>
      </c>
      <c r="E91" s="94">
        <f>SUM(E85:E90)</f>
        <v>220926.84999999998</v>
      </c>
      <c r="F91" s="94">
        <f>SUM(F85:F90)</f>
        <v>0</v>
      </c>
      <c r="G91" s="23" t="s">
        <v>288</v>
      </c>
      <c r="H91" s="13">
        <f t="shared" si="5"/>
        <v>258066.33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75000</v>
      </c>
      <c r="H96" s="13">
        <f t="shared" si="5"/>
        <v>75000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75000</v>
      </c>
      <c r="H103" s="68">
        <f t="shared" si="5"/>
        <v>75000</v>
      </c>
    </row>
    <row r="104" spans="1:8" ht="12.75" thickTop="1" thickBot="1" x14ac:dyDescent="0.25">
      <c r="A104" s="32" t="s">
        <v>758</v>
      </c>
      <c r="C104" s="68">
        <f>C63+C81+C91+C103</f>
        <v>5611855.6900000004</v>
      </c>
      <c r="D104" s="68">
        <f>D63+D81+D91+D103</f>
        <v>68029.600000000006</v>
      </c>
      <c r="E104" s="68">
        <f>E63+E81+E91+E103</f>
        <v>220926.84999999998</v>
      </c>
      <c r="F104" s="68">
        <f>F63+F81+F91+F103</f>
        <v>0</v>
      </c>
      <c r="G104" s="68">
        <f>G63+G81+G103</f>
        <v>75426.789999999994</v>
      </c>
      <c r="H104" s="68">
        <f t="shared" si="5"/>
        <v>5976238.9299999997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3008513.16</v>
      </c>
      <c r="D109" s="23" t="s">
        <v>288</v>
      </c>
      <c r="E109" s="73">
        <f>('DOE25'!L277)+('DOE25'!L296)+('DOE25'!L315)</f>
        <v>109757.84</v>
      </c>
      <c r="F109" s="23" t="s">
        <v>288</v>
      </c>
      <c r="G109" s="23" t="s">
        <v>288</v>
      </c>
      <c r="H109" s="13">
        <f t="shared" ref="H109:H115" si="6">SUM(C109:G109)</f>
        <v>3118271</v>
      </c>
    </row>
    <row r="110" spans="1:8" x14ac:dyDescent="0.2">
      <c r="A110" t="s">
        <v>198</v>
      </c>
      <c r="B110" s="31" t="s">
        <v>199</v>
      </c>
      <c r="C110" s="73">
        <f>('DOE25'!L199)+('DOE25'!L217)+('DOE25'!L235)</f>
        <v>936009.35</v>
      </c>
      <c r="D110" s="23" t="s">
        <v>288</v>
      </c>
      <c r="E110" s="73">
        <f>('DOE25'!L278)+('DOE25'!L297)+('DOE25'!L316)</f>
        <v>40684.61</v>
      </c>
      <c r="F110" s="23" t="s">
        <v>288</v>
      </c>
      <c r="G110" s="23" t="s">
        <v>288</v>
      </c>
      <c r="H110" s="13">
        <f t="shared" si="6"/>
        <v>976693.96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8377.8700000000008</v>
      </c>
      <c r="D112" s="23" t="s">
        <v>288</v>
      </c>
      <c r="E112" s="73">
        <f>+('DOE25'!L280)+('DOE25'!L299)+('DOE25'!L318)</f>
        <v>4318.8099999999995</v>
      </c>
      <c r="F112" s="23" t="s">
        <v>288</v>
      </c>
      <c r="G112" s="23" t="s">
        <v>288</v>
      </c>
      <c r="H112" s="13">
        <f t="shared" si="6"/>
        <v>12696.68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3952900.3800000004</v>
      </c>
      <c r="D115" s="68">
        <f>SUM(D109:D114)</f>
        <v>0</v>
      </c>
      <c r="E115" s="68">
        <f>SUM(E109:E114)</f>
        <v>154761.26</v>
      </c>
      <c r="F115" s="68">
        <f>SUM(F109:F114)</f>
        <v>0</v>
      </c>
      <c r="G115" s="68">
        <f>SUM(G109:G114)</f>
        <v>0</v>
      </c>
      <c r="H115" s="68">
        <f t="shared" si="6"/>
        <v>4107661.6400000006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398926.12</v>
      </c>
      <c r="D118" s="23" t="s">
        <v>288</v>
      </c>
      <c r="E118" s="73">
        <f>+('DOE25'!L282)+('DOE25'!L301)+('DOE25'!L320)</f>
        <v>9964.08</v>
      </c>
      <c r="F118" s="23" t="s">
        <v>288</v>
      </c>
      <c r="G118" s="23" t="s">
        <v>288</v>
      </c>
      <c r="H118" s="13">
        <f t="shared" ref="H118:H145" si="7">SUM(C118:G118)</f>
        <v>408890.2</v>
      </c>
    </row>
    <row r="119" spans="1:8" x14ac:dyDescent="0.2">
      <c r="A119" t="s">
        <v>208</v>
      </c>
      <c r="B119" s="31" t="s">
        <v>209</v>
      </c>
      <c r="C119" s="73">
        <f>('DOE25'!L204)+('DOE25'!L222)+('DOE25'!L240)</f>
        <v>77509.069999999992</v>
      </c>
      <c r="D119" s="23" t="s">
        <v>288</v>
      </c>
      <c r="E119" s="73">
        <f>+('DOE25'!L283)+('DOE25'!L302)+('DOE25'!L321)</f>
        <v>15116.51</v>
      </c>
      <c r="F119" s="23" t="s">
        <v>288</v>
      </c>
      <c r="G119" s="23" t="s">
        <v>288</v>
      </c>
      <c r="H119" s="13">
        <f t="shared" si="7"/>
        <v>92625.579999999987</v>
      </c>
    </row>
    <row r="120" spans="1:8" x14ac:dyDescent="0.2">
      <c r="A120" t="s">
        <v>210</v>
      </c>
      <c r="B120" s="31" t="s">
        <v>211</v>
      </c>
      <c r="C120" s="73">
        <f>('DOE25'!L205)+('DOE25'!L223)+('DOE25'!L241)</f>
        <v>244734.84000000003</v>
      </c>
      <c r="D120" s="23" t="s">
        <v>288</v>
      </c>
      <c r="E120" s="73">
        <f>+('DOE25'!L284)+('DOE25'!L303)+('DOE25'!L322)</f>
        <v>0</v>
      </c>
      <c r="F120" s="23" t="s">
        <v>288</v>
      </c>
      <c r="G120" s="23" t="s">
        <v>288</v>
      </c>
      <c r="H120" s="13">
        <f t="shared" si="7"/>
        <v>244734.84000000003</v>
      </c>
    </row>
    <row r="121" spans="1:8" x14ac:dyDescent="0.2">
      <c r="A121" t="s">
        <v>212</v>
      </c>
      <c r="B121" s="31" t="s">
        <v>213</v>
      </c>
      <c r="C121" s="73">
        <f>('DOE25'!L206)+('DOE25'!L224)+('DOE25'!L242)</f>
        <v>219295.84999999998</v>
      </c>
      <c r="D121" s="23" t="s">
        <v>288</v>
      </c>
      <c r="E121" s="73">
        <f>+('DOE25'!L285)+('DOE25'!L304)+('DOE25'!L323)</f>
        <v>3000</v>
      </c>
      <c r="F121" s="23" t="s">
        <v>288</v>
      </c>
      <c r="G121" s="23" t="s">
        <v>288</v>
      </c>
      <c r="H121" s="13">
        <f t="shared" si="7"/>
        <v>222295.84999999998</v>
      </c>
    </row>
    <row r="122" spans="1:8" x14ac:dyDescent="0.2">
      <c r="A122" t="s">
        <v>214</v>
      </c>
      <c r="B122" s="31" t="s">
        <v>215</v>
      </c>
      <c r="C122" s="73">
        <f>('DOE25'!L207)+('DOE25'!L225)+('DOE25'!L243)</f>
        <v>0</v>
      </c>
      <c r="D122" s="23" t="s">
        <v>288</v>
      </c>
      <c r="E122" s="73">
        <f>+('DOE25'!L286)+('DOE25'!L305)+('DOE25'!L324)</f>
        <v>748.65000000000009</v>
      </c>
      <c r="F122" s="23" t="s">
        <v>288</v>
      </c>
      <c r="G122" s="23" t="s">
        <v>288</v>
      </c>
      <c r="H122" s="13">
        <f t="shared" si="7"/>
        <v>748.65000000000009</v>
      </c>
    </row>
    <row r="123" spans="1:8" x14ac:dyDescent="0.2">
      <c r="A123" t="s">
        <v>216</v>
      </c>
      <c r="B123" s="31" t="s">
        <v>217</v>
      </c>
      <c r="C123" s="73">
        <f>('DOE25'!L208)+('DOE25'!L226)+('DOE25'!L244)</f>
        <v>445171.97</v>
      </c>
      <c r="D123" s="23" t="s">
        <v>288</v>
      </c>
      <c r="E123" s="73">
        <f>+('DOE25'!L287)+('DOE25'!L306)+('DOE25'!L325)</f>
        <v>37336.35</v>
      </c>
      <c r="F123" s="23" t="s">
        <v>288</v>
      </c>
      <c r="G123" s="23" t="s">
        <v>288</v>
      </c>
      <c r="H123" s="13">
        <f t="shared" si="7"/>
        <v>482508.31999999995</v>
      </c>
    </row>
    <row r="124" spans="1:8" x14ac:dyDescent="0.2">
      <c r="A124" t="s">
        <v>218</v>
      </c>
      <c r="B124" s="31" t="s">
        <v>219</v>
      </c>
      <c r="C124" s="73">
        <f>('DOE25'!L209)+('DOE25'!L227)+('DOE25'!L245+'DOE25'!L255)</f>
        <v>383019.83</v>
      </c>
      <c r="D124" s="23" t="s">
        <v>288</v>
      </c>
      <c r="E124" s="73">
        <f>+('DOE25'!L288)+('DOE25'!L307)+('DOE25'!L326)</f>
        <v>0</v>
      </c>
      <c r="F124" s="23" t="s">
        <v>288</v>
      </c>
      <c r="G124" s="23" t="s">
        <v>288</v>
      </c>
      <c r="H124" s="13">
        <f t="shared" si="7"/>
        <v>383019.83</v>
      </c>
    </row>
    <row r="125" spans="1:8" x14ac:dyDescent="0.2">
      <c r="A125" t="s">
        <v>220</v>
      </c>
      <c r="B125" s="31" t="s">
        <v>221</v>
      </c>
      <c r="C125" s="73">
        <f>('DOE25'!L210)+('DOE25'!L228)+('DOE25'!L246)</f>
        <v>7667.5300000000007</v>
      </c>
      <c r="D125" s="23" t="s">
        <v>288</v>
      </c>
      <c r="E125" s="73">
        <f>+('DOE25'!L289)+('DOE25'!L308)+('DOE25'!L327)</f>
        <v>0</v>
      </c>
      <c r="F125" s="23" t="s">
        <v>288</v>
      </c>
      <c r="G125" s="23" t="s">
        <v>288</v>
      </c>
      <c r="H125" s="13">
        <f t="shared" si="7"/>
        <v>7667.5300000000007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69662.92</v>
      </c>
      <c r="E127" s="23" t="s">
        <v>288</v>
      </c>
      <c r="F127" s="23" t="s">
        <v>288</v>
      </c>
      <c r="G127" s="23" t="s">
        <v>288</v>
      </c>
      <c r="H127" s="13">
        <f t="shared" si="7"/>
        <v>69662.92</v>
      </c>
    </row>
    <row r="128" spans="1:8" ht="12.75" thickTop="1" thickBot="1" x14ac:dyDescent="0.25">
      <c r="A128" s="32" t="s">
        <v>226</v>
      </c>
      <c r="C128" s="68">
        <f>SUM(C118:C127)</f>
        <v>1776325.2100000002</v>
      </c>
      <c r="D128" s="68">
        <f>SUM(D118:D127)</f>
        <v>69662.92</v>
      </c>
      <c r="E128" s="68">
        <f>SUM(E118:E127)</f>
        <v>66165.59</v>
      </c>
      <c r="F128" s="68">
        <f>SUM(F118:F127)</f>
        <v>0</v>
      </c>
      <c r="G128" s="68">
        <f>SUM(G118:G127)</f>
        <v>0</v>
      </c>
      <c r="H128" s="68">
        <f t="shared" si="7"/>
        <v>1912153.7200000002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75426.789999999994</v>
      </c>
      <c r="D138" s="23" t="s">
        <v>288</v>
      </c>
      <c r="E138" s="23" t="s">
        <v>288</v>
      </c>
      <c r="F138" s="23" t="s">
        <v>288</v>
      </c>
      <c r="G138" s="23" t="s">
        <v>288</v>
      </c>
      <c r="H138" s="13">
        <f t="shared" si="7"/>
        <v>75426.789999999994</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-426.7899999999936</v>
      </c>
      <c r="D141" s="23" t="s">
        <v>288</v>
      </c>
      <c r="E141" s="23" t="s">
        <v>288</v>
      </c>
      <c r="F141" s="23" t="s">
        <v>288</v>
      </c>
      <c r="G141" s="23" t="s">
        <v>288</v>
      </c>
      <c r="H141" s="13">
        <f t="shared" si="7"/>
        <v>-426.7899999999936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75000</v>
      </c>
      <c r="D144" s="98">
        <f>SUM(D130:D143)</f>
        <v>0</v>
      </c>
      <c r="E144" s="98">
        <f>SUM(E130:E143)</f>
        <v>0</v>
      </c>
      <c r="F144" s="98">
        <f>SUM(F130:F143)</f>
        <v>0</v>
      </c>
      <c r="G144" s="98">
        <f>SUM(G130:G143)</f>
        <v>0</v>
      </c>
      <c r="H144" s="98">
        <f t="shared" si="7"/>
        <v>75000</v>
      </c>
    </row>
    <row r="145" spans="1:9" ht="12.75" thickTop="1" thickBot="1" x14ac:dyDescent="0.25">
      <c r="A145" s="32" t="s">
        <v>244</v>
      </c>
      <c r="C145" s="68">
        <f>(C115+C128+C144)</f>
        <v>5804225.5900000008</v>
      </c>
      <c r="D145" s="68">
        <f>(D115+D128+D144)</f>
        <v>69662.92</v>
      </c>
      <c r="E145" s="68">
        <f>(E115+E128+E144)</f>
        <v>220926.85</v>
      </c>
      <c r="F145" s="68">
        <f>(F115+F128+F144)</f>
        <v>0</v>
      </c>
      <c r="G145" s="68">
        <f>(G115+G128+G144)</f>
        <v>0</v>
      </c>
      <c r="H145" s="68">
        <f t="shared" si="7"/>
        <v>6094815.3600000003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t="str">
        <f>'DOE25'!F492</f>
        <v>0</v>
      </c>
      <c r="C152" s="109" t="str">
        <f>'DOE25'!G492</f>
        <v>0</v>
      </c>
      <c r="D152" s="109">
        <f>'DOE25'!H492</f>
        <v>0</v>
      </c>
      <c r="E152" s="109">
        <f>'DOE25'!I492</f>
        <v>0</v>
      </c>
      <c r="F152" s="109">
        <f>'DOE25'!J492</f>
        <v>0</v>
      </c>
      <c r="G152" s="23" t="s">
        <v>288</v>
      </c>
    </row>
    <row r="153" spans="1:9" x14ac:dyDescent="0.2">
      <c r="A153" s="21" t="s">
        <v>29</v>
      </c>
      <c r="B153" s="109" t="str">
        <f>'DOE25'!F493</f>
        <v>0</v>
      </c>
      <c r="C153" s="109" t="str">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Rollinsford</v>
      </c>
    </row>
    <row r="3" spans="1:4" x14ac:dyDescent="0.2">
      <c r="B3" s="136" t="s">
        <v>1792</v>
      </c>
    </row>
    <row r="4" spans="1:4" x14ac:dyDescent="0.2">
      <c r="B4" t="s">
        <v>61</v>
      </c>
      <c r="C4" s="128">
        <f>IF('DOE25'!F666+'DOE25'!F671=0,0,ROUND('DOE25'!F673,0))</f>
        <v>23622</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23622</v>
      </c>
    </row>
    <row r="9" spans="1:4" x14ac:dyDescent="0.2">
      <c r="A9" s="135" t="s">
        <v>94</v>
      </c>
      <c r="B9" s="136" t="s">
        <v>1793</v>
      </c>
      <c r="C9" s="130" t="s">
        <v>720</v>
      </c>
      <c r="D9" s="130" t="s">
        <v>721</v>
      </c>
    </row>
    <row r="10" spans="1:4" x14ac:dyDescent="0.2">
      <c r="A10">
        <v>1100</v>
      </c>
      <c r="B10" t="s">
        <v>702</v>
      </c>
      <c r="C10" s="128">
        <f>ROUND('DOE25'!L198+'DOE25'!L216+'DOE25'!L234+'DOE25'!L277+'DOE25'!L296+'DOE25'!L315,0)</f>
        <v>3118271</v>
      </c>
      <c r="D10" s="131">
        <f>ROUND((C10/$C$28)*100,1)</f>
        <v>52.1</v>
      </c>
    </row>
    <row r="11" spans="1:4" x14ac:dyDescent="0.2">
      <c r="A11">
        <v>1200</v>
      </c>
      <c r="B11" t="s">
        <v>703</v>
      </c>
      <c r="C11" s="128">
        <f>ROUND('DOE25'!L199+'DOE25'!L217+'DOE25'!L235+'DOE25'!L278+'DOE25'!L297+'DOE25'!L316,0)</f>
        <v>976694</v>
      </c>
      <c r="D11" s="131">
        <f>ROUND((C11/$C$28)*100,1)</f>
        <v>16.3</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12697</v>
      </c>
      <c r="D13" s="131">
        <f>ROUND((C13/$C$28)*100,1)</f>
        <v>0.2</v>
      </c>
    </row>
    <row r="14" spans="1:4" x14ac:dyDescent="0.2">
      <c r="D14" s="131"/>
    </row>
    <row r="15" spans="1:4" x14ac:dyDescent="0.2">
      <c r="A15">
        <v>2100</v>
      </c>
      <c r="B15" t="s">
        <v>706</v>
      </c>
      <c r="C15" s="128">
        <f>ROUND('DOE25'!L203+'DOE25'!L221+'DOE25'!L239+'DOE25'!L282+'DOE25'!L301+'DOE25'!L320,0)</f>
        <v>408890</v>
      </c>
      <c r="D15" s="131">
        <f t="shared" ref="D15:D27" si="0">ROUND((C15/$C$28)*100,1)</f>
        <v>6.8</v>
      </c>
    </row>
    <row r="16" spans="1:4" x14ac:dyDescent="0.2">
      <c r="A16">
        <v>2200</v>
      </c>
      <c r="B16" t="s">
        <v>707</v>
      </c>
      <c r="C16" s="128">
        <f>ROUND('DOE25'!L204+'DOE25'!L222+'DOE25'!L240+'DOE25'!L283+'DOE25'!L302+'DOE25'!L321,0)</f>
        <v>92626</v>
      </c>
      <c r="D16" s="131">
        <f t="shared" si="0"/>
        <v>1.5</v>
      </c>
    </row>
    <row r="17" spans="1:4" x14ac:dyDescent="0.2">
      <c r="A17" s="132" t="s">
        <v>723</v>
      </c>
      <c r="B17" t="s">
        <v>738</v>
      </c>
      <c r="C17" s="128">
        <f>ROUND('DOE25'!L205+'DOE25'!L210+'DOE25'!L223+'DOE25'!L228+'DOE25'!L241+'DOE25'!L246+'DOE25'!L284+'DOE25'!L289+'DOE25'!L303+'DOE25'!L308+'DOE25'!L322+'DOE25'!L327,0)</f>
        <v>252402</v>
      </c>
      <c r="D17" s="131">
        <f t="shared" si="0"/>
        <v>4.2</v>
      </c>
    </row>
    <row r="18" spans="1:4" x14ac:dyDescent="0.2">
      <c r="A18">
        <v>2400</v>
      </c>
      <c r="B18" t="s">
        <v>711</v>
      </c>
      <c r="C18" s="128">
        <f>ROUND('DOE25'!L206+'DOE25'!L224+'DOE25'!L242+'DOE25'!L285+'DOE25'!L304+'DOE25'!L323,0)</f>
        <v>222296</v>
      </c>
      <c r="D18" s="131">
        <f t="shared" si="0"/>
        <v>3.7</v>
      </c>
    </row>
    <row r="19" spans="1:4" x14ac:dyDescent="0.2">
      <c r="A19">
        <v>2500</v>
      </c>
      <c r="B19" t="s">
        <v>708</v>
      </c>
      <c r="C19" s="128">
        <f>ROUND('DOE25'!L207+'DOE25'!L225+'DOE25'!L243+'DOE25'!L286+'DOE25'!L305+'DOE25'!L324,0)</f>
        <v>749</v>
      </c>
      <c r="D19" s="131">
        <f t="shared" si="0"/>
        <v>0</v>
      </c>
    </row>
    <row r="20" spans="1:4" x14ac:dyDescent="0.2">
      <c r="A20">
        <v>2600</v>
      </c>
      <c r="B20" t="s">
        <v>709</v>
      </c>
      <c r="C20" s="128">
        <f>ROUND('DOE25'!L208+'DOE25'!L226+'DOE25'!L244+'DOE25'!L287+'DOE25'!L306+'DOE25'!L325,0)</f>
        <v>482508</v>
      </c>
      <c r="D20" s="131">
        <f t="shared" si="0"/>
        <v>8.1</v>
      </c>
    </row>
    <row r="21" spans="1:4" x14ac:dyDescent="0.2">
      <c r="A21">
        <v>2700</v>
      </c>
      <c r="B21" t="s">
        <v>710</v>
      </c>
      <c r="C21" s="128">
        <f>ROUND('DOE25'!L209+'DOE25'!L227+'DOE25'!L245+'DOE25'!L288+'DOE25'!L307+'DOE25'!L326,0)</f>
        <v>383020</v>
      </c>
      <c r="D21" s="131">
        <f t="shared" si="0"/>
        <v>6.4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39533.749999999993</v>
      </c>
      <c r="D27" s="131">
        <f t="shared" si="0"/>
        <v>0.7</v>
      </c>
    </row>
    <row r="28" spans="1:4" x14ac:dyDescent="0.2">
      <c r="B28" s="135" t="s">
        <v>719</v>
      </c>
      <c r="C28" s="129">
        <f>SUM(C10:C27)</f>
        <v>5989686.75</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5989686.75</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4307852</v>
      </c>
      <c r="D35" s="131">
        <f t="shared" ref="D35:D40" si="1">ROUND((C35/$C$41)*100,1)</f>
        <v>73.400000000000006</v>
      </c>
    </row>
    <row r="36" spans="1:4" x14ac:dyDescent="0.2">
      <c r="B36" s="71" t="s">
        <v>739</v>
      </c>
      <c r="C36" s="128">
        <f>SUM('DOE25'!F112:J112)-SUM('DOE25'!G97:G110)+('DOE25'!F175+'DOE25'!F176+'DOE25'!I175+'DOE25'!I176)-C35</f>
        <v>11059.150000000373</v>
      </c>
      <c r="D36" s="131">
        <f t="shared" si="1"/>
        <v>0.2</v>
      </c>
    </row>
    <row r="37" spans="1:4" x14ac:dyDescent="0.2">
      <c r="A37" s="132" t="s">
        <v>831</v>
      </c>
      <c r="B37" s="71" t="s">
        <v>728</v>
      </c>
      <c r="C37" s="128">
        <f>ROUND('DOE25'!F117+'DOE25'!F118,0)</f>
        <v>1291334</v>
      </c>
      <c r="D37" s="131">
        <f t="shared" si="1"/>
        <v>22</v>
      </c>
    </row>
    <row r="38" spans="1:4" x14ac:dyDescent="0.2">
      <c r="A38" s="132" t="s">
        <v>734</v>
      </c>
      <c r="B38" s="71" t="s">
        <v>729</v>
      </c>
      <c r="C38" s="128">
        <f>ROUND(SUM('DOE25'!F140:J140)-SUM('DOE25'!F117:F119),0)</f>
        <v>2798</v>
      </c>
      <c r="D38" s="131">
        <f t="shared" si="1"/>
        <v>0</v>
      </c>
    </row>
    <row r="39" spans="1:4" x14ac:dyDescent="0.2">
      <c r="A39">
        <v>4000</v>
      </c>
      <c r="B39" s="71" t="s">
        <v>730</v>
      </c>
      <c r="C39" s="128">
        <f>ROUND('DOE25'!F170+'DOE25'!G170+'DOE25'!H170+'DOE25'!I170,0)</f>
        <v>258066</v>
      </c>
      <c r="D39" s="131">
        <f t="shared" si="1"/>
        <v>4.4000000000000004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5871109.1500000004</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Rollinsford</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264</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f>IF('School Level Expenditures'!$B$2=A267,'School Tables'!H267,"")</f>
        <v>264</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Eaton, Brian</cp:lastModifiedBy>
  <cp:lastPrinted>2024-08-26T14:14:28Z</cp:lastPrinted>
  <dcterms:created xsi:type="dcterms:W3CDTF">1997-12-04T19:04:30Z</dcterms:created>
  <dcterms:modified xsi:type="dcterms:W3CDTF">2024-09-12T18:39:27Z</dcterms:modified>
</cp:coreProperties>
</file>