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4431360-02AF-4AB8-A2AD-DE251521172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3" l="1"/>
  <c r="F16" i="13"/>
  <c r="F15" i="13"/>
  <c r="F8" i="13"/>
  <c r="F6" i="13"/>
  <c r="O6" i="14"/>
  <c r="O7" i="14"/>
  <c r="O40" i="14"/>
  <c r="O27" i="14"/>
  <c r="P40" i="14"/>
  <c r="P7" i="14"/>
  <c r="P6" i="14"/>
  <c r="B10" i="12"/>
  <c r="K7" i="14" l="1"/>
  <c r="K6" i="14"/>
  <c r="N7" i="14" l="1"/>
  <c r="N6" i="14"/>
  <c r="M7" i="14"/>
  <c r="M6" i="14"/>
  <c r="L7" i="14"/>
  <c r="L6" i="14"/>
  <c r="Q27" i="14" l="1"/>
  <c r="N27" i="14" l="1"/>
  <c r="K27" i="14"/>
  <c r="M27" i="14"/>
  <c r="L27" i="14"/>
  <c r="K40" i="14"/>
  <c r="M40" i="14"/>
  <c r="L40" i="14"/>
  <c r="N40" i="14"/>
  <c r="Q40" i="14"/>
  <c r="D7" i="14" l="1"/>
  <c r="D6" i="14"/>
  <c r="D40" i="14"/>
  <c r="D39" i="14"/>
  <c r="D27" i="14"/>
  <c r="C19" i="12"/>
  <c r="C20" i="12"/>
  <c r="C21" i="12"/>
  <c r="B19" i="12"/>
  <c r="B20" i="12"/>
  <c r="B21" i="12"/>
  <c r="C39" i="12"/>
  <c r="B39" i="12"/>
  <c r="C29" i="12"/>
  <c r="C28" i="12"/>
  <c r="B28" i="12"/>
  <c r="C12" i="12"/>
  <c r="C10" i="12"/>
  <c r="C11" i="12"/>
  <c r="B12" i="12"/>
  <c r="B11" i="12"/>
  <c r="E11" i="17"/>
  <c r="E13" i="17"/>
  <c r="E9" i="17"/>
  <c r="K527" i="1" l="1"/>
  <c r="H529" i="1"/>
  <c r="H528" i="1"/>
  <c r="H527" i="1"/>
  <c r="H522" i="1"/>
  <c r="I522" i="1"/>
  <c r="G522" i="1"/>
  <c r="F522" i="1"/>
  <c r="J596" i="1" l="1"/>
  <c r="H596" i="1"/>
  <c r="F583" i="1"/>
  <c r="F234" i="1"/>
  <c r="F368" i="1"/>
  <c r="F315" i="1"/>
  <c r="F296" i="1"/>
  <c r="I234" i="1"/>
  <c r="I216" i="1"/>
  <c r="I198" i="1"/>
  <c r="F216" i="1"/>
  <c r="F198" i="1"/>
  <c r="H234" i="1"/>
  <c r="G234" i="1"/>
  <c r="H216" i="1"/>
  <c r="G216" i="1"/>
  <c r="H198" i="1"/>
  <c r="G198" i="1"/>
  <c r="H162" i="1" l="1"/>
  <c r="H159" i="1"/>
  <c r="H156" i="1"/>
  <c r="H155" i="1"/>
  <c r="H154" i="1"/>
  <c r="H78" i="1"/>
  <c r="G97" i="1"/>
  <c r="F110" i="1"/>
  <c r="J427" i="1" l="1"/>
  <c r="I427" i="1"/>
  <c r="H42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E120" i="2" s="1"/>
  <c r="L304" i="1"/>
  <c r="L305" i="1"/>
  <c r="L306" i="1"/>
  <c r="L307" i="1"/>
  <c r="G663" i="1" s="1"/>
  <c r="L308" i="1"/>
  <c r="L315" i="1"/>
  <c r="L316" i="1"/>
  <c r="L317" i="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L613" i="1"/>
  <c r="L612" i="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F147" i="1"/>
  <c r="C85" i="2" s="1"/>
  <c r="F170" i="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C74" i="2"/>
  <c r="H74" i="2" s="1"/>
  <c r="C75" i="2"/>
  <c r="H75" i="2" s="1"/>
  <c r="C76" i="2"/>
  <c r="E76" i="2"/>
  <c r="F76" i="2"/>
  <c r="C77" i="2"/>
  <c r="D77" i="2"/>
  <c r="D78" i="2" s="1"/>
  <c r="E77" i="2"/>
  <c r="F77" i="2"/>
  <c r="G77" i="2"/>
  <c r="C79" i="2"/>
  <c r="H79" i="2" s="1"/>
  <c r="D79" i="2"/>
  <c r="E79" i="2"/>
  <c r="C80" i="2"/>
  <c r="E80" i="2"/>
  <c r="F85" i="2"/>
  <c r="C87" i="2"/>
  <c r="E87" i="2"/>
  <c r="F87" i="2"/>
  <c r="C89" i="2"/>
  <c r="D89" i="2"/>
  <c r="E89" i="2"/>
  <c r="F89" i="2"/>
  <c r="C90" i="2"/>
  <c r="H90" i="2" s="1"/>
  <c r="C93" i="2"/>
  <c r="F93" i="2"/>
  <c r="C94" i="2"/>
  <c r="F94" i="2"/>
  <c r="D96" i="2"/>
  <c r="E96" i="2"/>
  <c r="F96" i="2"/>
  <c r="G96" i="2"/>
  <c r="C97" i="2"/>
  <c r="D97" i="2"/>
  <c r="E97" i="2"/>
  <c r="F97" i="2"/>
  <c r="G97" i="2"/>
  <c r="H97" i="2" s="1"/>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H664" i="1" l="1"/>
  <c r="G664" i="1"/>
  <c r="F664" i="1"/>
  <c r="J652" i="1"/>
  <c r="D29" i="13"/>
  <c r="C29" i="13" s="1"/>
  <c r="G662" i="1"/>
  <c r="E125" i="2"/>
  <c r="H113" i="2"/>
  <c r="E124" i="2"/>
  <c r="K2" i="14"/>
  <c r="K3" i="14" s="1"/>
  <c r="C119" i="2"/>
  <c r="K36" i="14"/>
  <c r="K37" i="14" s="1"/>
  <c r="C125" i="2"/>
  <c r="H125" i="2" s="1"/>
  <c r="D15" i="13"/>
  <c r="C15" i="13" s="1"/>
  <c r="C120" i="2"/>
  <c r="H120" i="2" s="1"/>
  <c r="C112" i="2"/>
  <c r="H112" i="2" s="1"/>
  <c r="C12" i="10"/>
  <c r="E13" i="13"/>
  <c r="C13" i="13" s="1"/>
  <c r="C13" i="10"/>
  <c r="H80" i="2"/>
  <c r="H140" i="1"/>
  <c r="H58" i="2"/>
  <c r="H96" i="2"/>
  <c r="H94" i="2"/>
  <c r="H93" i="2"/>
  <c r="H87" i="2"/>
  <c r="H76" i="2"/>
  <c r="H73" i="2"/>
  <c r="H72" i="2"/>
  <c r="H102" i="2"/>
  <c r="H101" i="2"/>
  <c r="H100" i="2"/>
  <c r="H99" i="2"/>
  <c r="H98" i="2"/>
  <c r="H89" i="2"/>
  <c r="I409" i="1"/>
  <c r="F409" i="1"/>
  <c r="H644" i="1" s="1"/>
  <c r="J644" i="1" s="1"/>
  <c r="G409" i="1"/>
  <c r="H646" i="1" s="1"/>
  <c r="J646" i="1" s="1"/>
  <c r="G646" i="1"/>
  <c r="G78" i="2"/>
  <c r="H77" i="2"/>
  <c r="G62" i="2"/>
  <c r="H61" i="2"/>
  <c r="J140" i="1"/>
  <c r="G70" i="2"/>
  <c r="H69" i="2"/>
  <c r="J112" i="1"/>
  <c r="H17" i="2"/>
  <c r="H22" i="2"/>
  <c r="H477" i="1"/>
  <c r="H625" i="1" s="1"/>
  <c r="G477" i="1"/>
  <c r="H624" i="1" s="1"/>
  <c r="J624" i="1" s="1"/>
  <c r="H43" i="2"/>
  <c r="H30" i="2"/>
  <c r="H26" i="2"/>
  <c r="H48" i="2"/>
  <c r="H47" i="2"/>
  <c r="H44" i="2"/>
  <c r="H38" i="2"/>
  <c r="H36" i="2"/>
  <c r="H35" i="2"/>
  <c r="H29" i="2"/>
  <c r="H8" i="2"/>
  <c r="H34" i="2"/>
  <c r="H27" i="2"/>
  <c r="H24" i="2"/>
  <c r="H23" i="2"/>
  <c r="H12" i="2"/>
  <c r="H15" i="2"/>
  <c r="H13" i="2"/>
  <c r="H11" i="2"/>
  <c r="H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J619" i="1"/>
  <c r="G42" i="2"/>
  <c r="G50" i="2" s="1"/>
  <c r="J51" i="1"/>
  <c r="G16" i="2"/>
  <c r="G18" i="2" s="1"/>
  <c r="J19" i="1"/>
  <c r="G622" i="1" s="1"/>
  <c r="F546" i="1"/>
  <c r="H435" i="1"/>
  <c r="D103" i="2"/>
  <c r="I140" i="1"/>
  <c r="A22" i="12"/>
  <c r="J653" i="1"/>
  <c r="G572" i="1"/>
  <c r="I435" i="1"/>
  <c r="G435" i="1"/>
  <c r="B33" i="16" l="1"/>
  <c r="L572" i="1"/>
  <c r="I664" i="1"/>
  <c r="D128" i="2"/>
  <c r="D145" i="2" s="1"/>
  <c r="H127" i="2"/>
  <c r="H114" i="2"/>
  <c r="H123" i="2"/>
  <c r="H122" i="2"/>
  <c r="I663" i="1"/>
  <c r="H85" i="2"/>
  <c r="H57" i="2"/>
  <c r="H91" i="2"/>
  <c r="I662" i="1"/>
  <c r="H103" i="2"/>
  <c r="H78" i="2"/>
  <c r="C81" i="2"/>
  <c r="H81" i="2" s="1"/>
  <c r="H70" i="2"/>
  <c r="H62" i="2"/>
  <c r="G144" i="2"/>
  <c r="G145" i="2" s="1"/>
  <c r="H134" i="2"/>
  <c r="J194" i="1"/>
  <c r="G647" i="1" s="1"/>
  <c r="G63" i="2"/>
  <c r="H21" i="2"/>
  <c r="H42" i="2"/>
  <c r="H16" i="2"/>
  <c r="F194" i="1"/>
  <c r="G628" i="1" s="1"/>
  <c r="J628" i="1" s="1"/>
  <c r="E51" i="2"/>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194" i="1"/>
  <c r="G629" i="1" s="1"/>
  <c r="J629" i="1" s="1"/>
  <c r="G627" i="1"/>
  <c r="J627" i="1" s="1"/>
  <c r="J52" i="1"/>
  <c r="H622" i="1" s="1"/>
  <c r="J622" i="1" s="1"/>
  <c r="C38" i="10"/>
  <c r="C144" i="2" l="1"/>
  <c r="H144" i="2" s="1"/>
  <c r="H141" i="2"/>
  <c r="G632" i="1"/>
  <c r="J632" i="1" s="1"/>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<sst xmlns="http://schemas.openxmlformats.org/spreadsheetml/2006/main" count="6644" uniqueCount="1846">
  <si>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</si>
  <si>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</si>
  <si>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</si>
  <si>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</si>
  <si>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</si>
  <si>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</si>
  <si>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</si>
  <si>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</si>
  <si>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</si>
  <si>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</si>
  <si>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</si>
  <si>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</si>
  <si>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</si>
  <si>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</si>
  <si>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</si>
  <si>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</si>
  <si>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</si>
  <si>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</si>
  <si>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</si>
  <si>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</si>
  <si>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</si>
  <si>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</si>
  <si>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</si>
  <si>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</si>
  <si>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</si>
  <si>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</si>
  <si>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</si>
  <si>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</si>
  <si>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</si>
  <si>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</si>
  <si>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</si>
  <si>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</si>
  <si>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</si>
  <si>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</si>
  <si>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</si>
  <si>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</si>
  <si>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</si>
  <si>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</si>
  <si>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</si>
  <si>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</si>
  <si>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</si>
  <si>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</si>
  <si>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</si>
  <si>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</si>
  <si>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</si>
  <si>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</si>
  <si>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</si>
  <si>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</si>
  <si>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</si>
  <si>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</si>
  <si>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</si>
  <si>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</si>
  <si>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</si>
  <si>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</si>
  <si>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</si>
  <si>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</si>
  <si>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</si>
  <si>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</si>
  <si>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</si>
  <si>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</si>
  <si>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</si>
  <si>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</si>
  <si>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</si>
  <si>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</si>
  <si>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</si>
  <si>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</si>
  <si>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</si>
  <si>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</si>
  <si>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</si>
  <si>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</si>
  <si>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</si>
  <si>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</si>
  <si>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</si>
  <si>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</si>
  <si>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</si>
  <si>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</si>
  <si>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</si>
  <si>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</si>
  <si>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</si>
  <si>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</si>
  <si>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</si>
  <si>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</si>
  <si>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</si>
  <si>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</si>
  <si>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</si>
  <si>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</si>
  <si>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</si>
  <si>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</si>
  <si>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</si>
  <si>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</si>
  <si>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</si>
  <si>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</si>
  <si>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</si>
  <si>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</si>
  <si>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</si>
  <si>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</si>
  <si>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</si>
  <si>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</si>
  <si>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</si>
  <si>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</si>
  <si>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</si>
  <si>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</si>
  <si>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</si>
  <si>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</si>
  <si>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</si>
  <si>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</si>
  <si>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</si>
  <si>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</si>
  <si>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</si>
  <si>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</si>
  <si>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</si>
  <si>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</si>
  <si>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</si>
  <si>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</si>
  <si>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</si>
  <si>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</si>
  <si>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</si>
  <si>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</si>
  <si>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</si>
  <si>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</si>
  <si>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</si>
  <si>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</si>
  <si>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</si>
  <si>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</si>
  <si>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</si>
  <si>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</si>
  <si>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</si>
  <si>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</si>
  <si>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</si>
  <si>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</si>
  <si>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</si>
  <si>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</si>
  <si>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</si>
  <si>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</si>
  <si>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</si>
  <si>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</si>
  <si>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</si>
  <si>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</si>
  <si>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</si>
  <si>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</si>
  <si>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</si>
  <si>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</si>
  <si>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</si>
  <si>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</si>
  <si>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</si>
  <si>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</si>
  <si>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</si>
  <si>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</si>
  <si>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</si>
  <si>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</si>
  <si>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</si>
  <si>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</si>
  <si>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</si>
  <si>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</si>
  <si>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</si>
  <si>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</si>
  <si>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</si>
  <si>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</si>
  <si>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</si>
  <si>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</si>
  <si>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</si>
  <si>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</si>
  <si>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</si>
  <si>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</si>
  <si>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</si>
  <si>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</si>
  <si>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</si>
  <si>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</si>
  <si>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</si>
  <si>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</si>
  <si>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</si>
  <si>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</si>
  <si>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</si>
  <si>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</si>
  <si>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</si>
  <si>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</si>
  <si>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</si>
  <si>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</si>
  <si>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</si>
  <si>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</si>
  <si>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</si>
  <si>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</si>
  <si>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</si>
  <si>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</si>
  <si>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</si>
  <si>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</si>
  <si>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</si>
  <si>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</si>
  <si>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</si>
  <si>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</si>
  <si>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</si>
  <si>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</si>
  <si>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</si>
  <si>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</si>
  <si>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</si>
  <si>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</si>
  <si>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</si>
  <si>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</si>
  <si>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</si>
  <si>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</si>
  <si>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</si>
  <si>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</si>
  <si>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</si>
  <si>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</si>
  <si>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</si>
  <si>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</si>
  <si>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</si>
  <si>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</si>
  <si>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</si>
  <si>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</si>
  <si>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</si>
  <si>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</si>
  <si>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</si>
  <si>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</si>
  <si>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</si>
  <si>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</si>
  <si>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</si>
  <si>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</si>
  <si>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</si>
  <si>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</si>
  <si>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</si>
  <si>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</si>
  <si>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</si>
  <si>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</si>
  <si>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</si>
  <si>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</si>
  <si>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</si>
  <si>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</si>
  <si>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</si>
  <si>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</si>
  <si>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</si>
  <si>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</si>
  <si>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</si>
  <si>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</si>
  <si>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</si>
  <si>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</si>
  <si>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</si>
  <si>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</si>
  <si>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</si>
  <si>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</si>
  <si>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</si>
  <si>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</si>
  <si>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</si>
  <si>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</si>
  <si>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</si>
  <si>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</si>
  <si>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</si>
  <si>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</si>
  <si>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</si>
  <si>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</si>
  <si>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</si>
  <si>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</si>
  <si>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</si>
  <si>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</si>
  <si>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</si>
  <si>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</si>
  <si>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</si>
  <si>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</si>
  <si>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</si>
  <si>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</si>
  <si>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</si>
  <si>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</si>
  <si>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</si>
  <si>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</si>
  <si>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</si>
  <si>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</si>
  <si>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</si>
  <si>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</si>
  <si>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</si>
  <si>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</si>
  <si>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</si>
  <si>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</si>
  <si>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</si>
  <si>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</si>
  <si>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</si>
  <si>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</si>
  <si>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</si>
  <si>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</si>
  <si>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</si>
  <si>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</si>
  <si>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</si>
  <si>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</si>
  <si>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</si>
  <si>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</si>
  <si>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</si>
  <si>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</si>
  <si>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</si>
  <si>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</si>
  <si>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</si>
  <si>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</si>
  <si>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</si>
  <si>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</si>
  <si>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</si>
  <si>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</si>
  <si>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</si>
  <si>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</si>
  <si>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</si>
  <si>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</si>
  <si>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</si>
  <si>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</si>
  <si>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</si>
  <si>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</si>
  <si>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</si>
  <si>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</si>
  <si>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</si>
  <si>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</si>
  <si>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</si>
  <si>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</si>
  <si>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</si>
  <si>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</si>
  <si>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</si>
  <si>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</si>
  <si>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</si>
  <si>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</si>
  <si>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</si>
  <si>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</si>
  <si>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</si>
  <si>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</si>
  <si>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</si>
  <si>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</si>
  <si>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</si>
  <si>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</si>
  <si>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</si>
  <si>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</si>
  <si>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</si>
  <si>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</si>
  <si>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</si>
  <si>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</si>
  <si>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</si>
  <si>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</si>
  <si>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</si>
  <si>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</si>
  <si>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</si>
  <si>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</si>
  <si>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</si>
  <si>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</si>
  <si>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</si>
  <si>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</si>
  <si>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</si>
  <si>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</si>
  <si>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</si>
  <si>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</si>
  <si>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</si>
  <si>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</si>
  <si>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</si>
  <si>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</si>
  <si>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</si>
  <si>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</si>
  <si>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</si>
  <si>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</si>
  <si>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</si>
  <si>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</si>
  <si>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</si>
  <si>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</si>
  <si>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</si>
  <si>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</si>
  <si>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</si>
  <si>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</si>
  <si>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</si>
  <si>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</si>
  <si>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</si>
  <si>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</si>
  <si>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</si>
  <si>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</si>
  <si>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</si>
  <si>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</si>
  <si>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</si>
  <si>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</si>
  <si>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</si>
  <si>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</si>
  <si>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</si>
  <si>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</si>
  <si>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</si>
  <si>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</si>
  <si>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</si>
  <si>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</si>
  <si>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</si>
  <si>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</si>
  <si>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</si>
  <si>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</si>
  <si>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</si>
  <si>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</si>
  <si>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</si>
  <si>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</si>
  <si>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</si>
  <si>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</si>
  <si>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</si>
  <si>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</si>
  <si>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</si>
  <si>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</si>
  <si>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</si>
  <si>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</si>
  <si>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</si>
  <si>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</si>
  <si>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</si>
  <si>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</si>
  <si>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</si>
  <si>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</si>
  <si>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</si>
  <si>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</si>
  <si>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</si>
  <si>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</si>
  <si>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</si>
  <si>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</si>
  <si>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</si>
  <si>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</si>
  <si>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</si>
  <si>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</si>
  <si>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</si>
  <si>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</si>
  <si>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</si>
  <si>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</si>
  <si>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</si>
  <si>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</si>
  <si>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</si>
  <si>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</si>
  <si>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</si>
  <si>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</si>
  <si>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</si>
  <si>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</si>
  <si>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</si>
  <si>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</si>
  <si>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</si>
  <si>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</si>
  <si>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</si>
  <si>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</si>
  <si>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</si>
  <si>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</si>
  <si>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</si>
  <si>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</si>
  <si>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</si>
  <si>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</si>
  <si>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</si>
  <si>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</si>
  <si>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</si>
  <si>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</si>
  <si>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</si>
  <si>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</si>
  <si>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</si>
  <si>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</si>
  <si>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</si>
  <si>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</si>
  <si>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</si>
  <si>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</si>
  <si>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</si>
  <si>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</si>
  <si>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</si>
  <si>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</si>
  <si>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</si>
  <si>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</si>
  <si>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</si>
  <si>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</si>
  <si>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</si>
  <si>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</si>
  <si>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</si>
  <si>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</si>
  <si>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</si>
  <si>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</si>
  <si>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</si>
  <si>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</si>
  <si>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</si>
  <si>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</si>
  <si>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</si>
  <si>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</si>
  <si>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</si>
  <si>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</si>
  <si>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</si>
  <si>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</si>
  <si>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</si>
  <si>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</si>
  <si>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</si>
  <si>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</si>
  <si>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</si>
  <si>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</si>
  <si>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</si>
  <si>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</si>
  <si>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</si>
  <si>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</si>
  <si>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</si>
  <si>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</si>
  <si>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</si>
  <si>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</si>
  <si>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</si>
  <si>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</si>
  <si>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</si>
  <si>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</si>
  <si>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</si>
  <si>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</si>
  <si>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</si>
  <si>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</si>
  <si>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</si>
  <si>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</si>
  <si>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</si>
  <si>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</si>
  <si>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</si>
  <si>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</si>
  <si>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</si>
  <si>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</si>
  <si>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</si>
  <si>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</si>
  <si>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</si>
  <si>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</si>
  <si>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</si>
  <si>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</si>
  <si>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</si>
  <si>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</si>
  <si>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</si>
  <si>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</si>
  <si>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</si>
  <si>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</si>
  <si>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</si>
  <si>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</si>
  <si>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</si>
  <si>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</si>
  <si>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</si>
  <si>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</si>
  <si>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</si>
  <si>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</si>
  <si>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</si>
  <si>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</si>
  <si>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</si>
  <si>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</si>
  <si>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</si>
  <si>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</si>
  <si>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</si>
  <si>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</si>
  <si>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</si>
  <si>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</si>
  <si>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</si>
  <si>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</si>
  <si>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</si>
  <si>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</si>
  <si>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</si>
  <si>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</si>
  <si>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</si>
  <si>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</si>
  <si>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</si>
  <si>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</si>
  <si>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</si>
  <si>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</si>
  <si>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</si>
  <si>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</si>
  <si>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</si>
  <si>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</si>
  <si>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</si>
  <si>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</si>
  <si>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</si>
  <si>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</si>
  <si>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</si>
  <si>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</si>
  <si>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</si>
  <si>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</si>
  <si>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</si>
  <si>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</si>
  <si>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</si>
  <si>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</si>
  <si>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</si>
  <si>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</si>
  <si>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</si>
  <si>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</si>
  <si>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</si>
  <si>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</si>
  <si>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</si>
  <si>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</si>
  <si>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</si>
  <si>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</si>
  <si>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</si>
  <si>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</si>
  <si>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</si>
  <si>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</si>
  <si>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</si>
  <si>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</si>
  <si>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</si>
  <si>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</si>
  <si>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</si>
  <si>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</si>
  <si>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</si>
  <si>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</si>
  <si>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</si>
  <si>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</si>
  <si>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</si>
  <si>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</si>
  <si>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</si>
  <si>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</si>
  <si>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</si>
  <si>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</si>
  <si>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</si>
  <si>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</si>
  <si>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</si>
  <si>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</si>
  <si>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</si>
  <si>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</si>
  <si>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</si>
  <si>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</si>
  <si>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</si>
  <si>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</si>
  <si>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</si>
  <si>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</si>
  <si>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</si>
  <si>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</si>
  <si>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</si>
  <si>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</si>
  <si>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</si>
  <si>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</si>
  <si>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</si>
  <si>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</si>
  <si>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</si>
  <si>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</si>
  <si>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</si>
  <si>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</si>
  <si>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</si>
  <si>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</si>
  <si>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</si>
  <si>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</si>
  <si>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</si>
  <si>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</si>
  <si>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</si>
  <si>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</si>
  <si>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</si>
  <si>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</si>
  <si>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</si>
  <si>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</si>
  <si>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</si>
  <si>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</si>
  <si>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</si>
  <si>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</si>
  <si>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</si>
  <si>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</si>
  <si>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</si>
  <si>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</si>
  <si>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</si>
  <si>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</si>
  <si>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</si>
  <si>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</si>
  <si>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</si>
  <si>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</si>
  <si>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</si>
  <si>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</si>
  <si>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</si>
  <si>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</si>
  <si>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</si>
  <si>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</si>
  <si>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</si>
  <si>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</si>
  <si>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</si>
  <si>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</si>
  <si>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</si>
  <si>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</si>
  <si>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</si>
  <si>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</si>
  <si>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</si>
  <si>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</si>
  <si>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</si>
  <si>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</si>
  <si>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</si>
  <si>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</si>
  <si>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</si>
  <si>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</si>
  <si>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</si>
  <si>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</si>
  <si>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</si>
  <si>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</si>
  <si>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</si>
  <si>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</si>
  <si>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</si>
  <si>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</si>
  <si>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</si>
  <si>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</si>
  <si>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</si>
  <si>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</si>
  <si>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</si>
  <si>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</si>
  <si>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</si>
  <si>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</si>
  <si>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</si>
  <si>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</si>
  <si>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</si>
  <si>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</si>
  <si>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</si>
  <si>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</si>
  <si>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</si>
  <si>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</si>
  <si>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</si>
  <si>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</si>
  <si>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</si>
  <si>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</si>
  <si>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</si>
  <si>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</si>
  <si>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</si>
  <si>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</si>
  <si>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</si>
  <si>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</si>
  <si>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</si>
  <si>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</si>
  <si>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</si>
  <si>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</si>
  <si>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</si>
  <si>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</si>
  <si>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</si>
  <si>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</si>
  <si>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</si>
  <si>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</si>
  <si>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</si>
  <si>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</si>
  <si>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</si>
  <si>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</si>
  <si>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</si>
  <si>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</si>
  <si>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</si>
  <si>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</si>
  <si>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</si>
  <si>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</si>
  <si>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</si>
  <si>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</si>
  <si>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</si>
  <si>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</si>
  <si>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</si>
  <si>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</si>
  <si>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</si>
  <si>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</si>
  <si>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</si>
  <si>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</si>
  <si>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</si>
  <si>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</si>
  <si>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</si>
  <si>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</si>
  <si>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</si>
  <si>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</si>
  <si>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</si>
  <si>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</si>
  <si>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</si>
  <si>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</si>
  <si>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</si>
  <si>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</si>
  <si>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</si>
  <si>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</si>
  <si>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</si>
  <si>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</si>
  <si>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</si>
  <si>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</si>
  <si>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</si>
  <si>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</si>
  <si>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</si>
  <si>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</si>
  <si>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</si>
  <si>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</si>
  <si>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</si>
  <si>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</si>
  <si>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</si>
  <si>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</si>
  <si>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</si>
  <si>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</si>
  <si>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</si>
  <si>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</si>
  <si>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</si>
  <si>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</si>
  <si>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</si>
  <si>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</si>
  <si>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</si>
  <si>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</si>
  <si>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</si>
  <si>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</si>
  <si>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</si>
  <si>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</si>
  <si>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</si>
  <si>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</si>
  <si>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</si>
  <si>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</si>
  <si>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</si>
  <si>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</si>
  <si>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</si>
  <si>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</si>
  <si>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</si>
  <si>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</si>
  <si>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</si>
  <si>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</si>
  <si>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</si>
  <si>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</si>
  <si>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</si>
  <si>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</si>
  <si>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</si>
  <si>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</si>
  <si>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</si>
  <si>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</si>
  <si>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</si>
  <si>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</si>
  <si>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</si>
  <si>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</si>
  <si>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</si>
  <si>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</si>
  <si>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</si>
  <si>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</si>
  <si>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</si>
  <si>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</si>
  <si>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</si>
  <si>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</si>
  <si>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</si>
  <si>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</si>
  <si>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</si>
  <si>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</si>
  <si>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</si>
  <si>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</si>
  <si>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</si>
  <si>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</si>
  <si>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</si>
  <si>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</si>
  <si>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</si>
  <si>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</si>
  <si>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</si>
  <si>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</si>
  <si>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</si>
  <si>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</si>
  <si>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</si>
  <si>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</si>
  <si>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</si>
  <si>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</si>
  <si>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</si>
  <si>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</si>
  <si>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</si>
  <si>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</si>
  <si>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</si>
  <si>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</si>
  <si>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</si>
  <si>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</si>
  <si>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</si>
  <si>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</si>
  <si>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</si>
  <si>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</si>
  <si>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</si>
  <si>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</si>
  <si>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</si>
  <si>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</si>
  <si>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</si>
  <si>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</si>
  <si>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</si>
  <si>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</si>
  <si>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</si>
  <si>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</si>
  <si>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</si>
  <si>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</si>
  <si>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</si>
  <si>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</si>
  <si>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</si>
  <si>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</si>
  <si>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</si>
  <si>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</si>
  <si>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</si>
  <si>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</si>
  <si>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</si>
  <si>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</si>
  <si>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</si>
  <si>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</si>
  <si>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</si>
  <si>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</si>
  <si>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</si>
  <si>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</si>
  <si>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</si>
  <si>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</si>
  <si>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</si>
  <si>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</si>
  <si>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</si>
  <si>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</si>
  <si>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</si>
  <si>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</si>
  <si>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</si>
  <si>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</si>
  <si>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</si>
  <si>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</si>
  <si>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</si>
  <si>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</si>
  <si>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</si>
  <si>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</si>
  <si>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</si>
  <si>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</si>
  <si>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</si>
  <si>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</si>
  <si>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</si>
  <si>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</si>
  <si>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</si>
  <si>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</si>
  <si>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</si>
  <si>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</si>
  <si>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</si>
  <si>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</si>
  <si>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</si>
  <si>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</si>
  <si>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</si>
  <si>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</si>
  <si>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</si>
  <si>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</si>
  <si>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</si>
  <si>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</si>
  <si>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</si>
  <si>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</si>
  <si>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</si>
  <si>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</si>
  <si>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</si>
  <si>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</si>
  <si>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</si>
  <si>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</si>
  <si>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</si>
  <si>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</si>
  <si>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</si>
  <si>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</si>
  <si>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</si>
  <si>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</si>
  <si>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</si>
  <si>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</si>
  <si>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</si>
  <si>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</si>
  <si>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</si>
  <si>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</si>
  <si>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</si>
  <si>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</si>
  <si>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</si>
  <si>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</si>
  <si>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</si>
  <si>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</si>
  <si>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</si>
  <si>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</si>
  <si>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</si>
  <si>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</si>
  <si>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</si>
  <si>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</si>
  <si>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</si>
  <si>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</si>
  <si>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</si>
  <si>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</si>
  <si>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</si>
  <si>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</si>
  <si>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</si>
  <si>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</si>
  <si>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</si>
  <si>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</si>
  <si>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</si>
  <si>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</si>
  <si>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</si>
  <si>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</si>
  <si>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</si>
  <si>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</si>
  <si>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</si>
  <si>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</si>
  <si>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</si>
  <si>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</si>
  <si>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</si>
  <si>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</si>
  <si>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</si>
  <si>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</si>
  <si>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</si>
  <si>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</si>
  <si>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</si>
  <si>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</si>
  <si>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</si>
  <si>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</si>
  <si>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</si>
  <si>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</si>
  <si>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</si>
  <si>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</si>
  <si>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</si>
  <si>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</si>
  <si>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</si>
  <si>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</si>
  <si>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</si>
  <si>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</si>
  <si>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</si>
  <si>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</si>
  <si>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</si>
  <si>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</si>
  <si>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</si>
  <si>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</si>
  <si>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</si>
  <si>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</si>
  <si>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</si>
  <si>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</si>
  <si>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</si>
  <si>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</si>
  <si>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</si>
  <si>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</si>
  <si>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</si>
  <si>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</si>
  <si>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</si>
  <si>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</si>
  <si>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</si>
  <si>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</si>
  <si>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</si>
  <si>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</si>
  <si>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</si>
  <si>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</si>
  <si>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</si>
  <si>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</si>
  <si>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</si>
  <si>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</si>
  <si>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</si>
  <si>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</si>
  <si>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</si>
  <si>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</si>
  <si>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</si>
  <si>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</si>
  <si>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</si>
  <si>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</si>
  <si>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</si>
  <si>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</si>
  <si>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</si>
  <si>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</si>
  <si>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</si>
  <si>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</si>
  <si>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</si>
  <si>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</si>
  <si>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</si>
  <si>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</si>
  <si>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</si>
  <si>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</si>
  <si>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</si>
  <si>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</si>
  <si>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</si>
  <si>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</si>
  <si>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</si>
  <si>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</si>
  <si>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</si>
  <si>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</si>
  <si>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</si>
  <si>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</si>
  <si>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</si>
  <si>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</si>
  <si>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</si>
  <si>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</si>
  <si>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</si>
  <si>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</si>
  <si>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</si>
  <si>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</si>
  <si>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</si>
  <si>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</si>
  <si>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</si>
  <si>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</si>
  <si>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</si>
  <si>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</si>
  <si>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</si>
  <si>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</si>
  <si>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</si>
  <si>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</si>
  <si>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</si>
  <si>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</si>
  <si>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</si>
  <si>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</si>
  <si>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</si>
  <si>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</si>
  <si>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</si>
  <si>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</si>
  <si>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</si>
  <si>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</si>
  <si>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</si>
  <si>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</si>
  <si>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</si>
  <si>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</si>
  <si>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</si>
  <si>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</si>
  <si>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</si>
  <si>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</si>
  <si>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</si>
  <si>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</si>
  <si>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</si>
  <si>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</si>
  <si>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</si>
  <si>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</si>
  <si>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</si>
  <si>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</si>
  <si>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</si>
  <si>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</si>
  <si>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</si>
  <si>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</si>
  <si>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</si>
  <si>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</si>
  <si>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</si>
  <si>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</si>
  <si>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</si>
  <si>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</si>
  <si>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</si>
  <si>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</si>
  <si>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</si>
  <si>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</si>
  <si>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</si>
  <si>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</si>
  <si>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</si>
  <si>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</si>
  <si>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</si>
  <si>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</si>
  <si>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</si>
  <si>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</si>
  <si>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</si>
  <si>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</si>
  <si>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</si>
  <si>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</si>
  <si>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</si>
  <si>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</si>
  <si>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</si>
  <si>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</si>
  <si>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</si>
  <si>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</si>
  <si>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</si>
  <si>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</si>
  <si>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</si>
  <si>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</si>
  <si>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</si>
  <si>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</si>
  <si>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</si>
  <si>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</si>
  <si>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</si>
  <si>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</si>
  <si>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</si>
  <si>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</si>
  <si>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</si>
  <si>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</si>
  <si>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</si>
  <si>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</si>
  <si>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</si>
  <si>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</si>
  <si>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</si>
  <si>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</si>
  <si>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</si>
  <si>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</si>
  <si>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</si>
  <si>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</si>
  <si>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</si>
  <si>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</si>
  <si>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</si>
  <si>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</si>
  <si>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</si>
  <si>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</si>
  <si>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</si>
  <si>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</si>
  <si>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</si>
  <si>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</si>
  <si>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</si>
  <si>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</si>
  <si>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</si>
  <si>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</si>
  <si>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</si>
  <si>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</si>
  <si>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</si>
  <si>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</si>
  <si>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</si>
  <si>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</si>
  <si>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</si>
  <si>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</si>
  <si>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</si>
  <si>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</si>
  <si>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</si>
  <si>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</si>
  <si>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</si>
  <si>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</si>
  <si>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</si>
  <si>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</si>
  <si>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</si>
  <si>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</si>
  <si>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</si>
  <si>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</si>
  <si>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</si>
  <si>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</si>
  <si>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</si>
  <si>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</si>
  <si>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</si>
  <si>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</si>
  <si>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</si>
  <si>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</si>
  <si>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</si>
  <si>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</si>
  <si>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</si>
  <si>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</si>
  <si>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</si>
  <si>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</si>
  <si>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</si>
  <si>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</si>
  <si>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</si>
  <si>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</si>
  <si>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</si>
  <si>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</si>
  <si>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</si>
  <si>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</si>
  <si>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</si>
  <si>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</si>
  <si>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</si>
  <si>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</si>
  <si>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</si>
  <si>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</si>
  <si>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</si>
  <si>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</si>
  <si>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</si>
  <si>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</si>
  <si>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</si>
  <si>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</si>
  <si>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</si>
  <si>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</si>
  <si>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</si>
  <si>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</si>
  <si>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</si>
  <si>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</si>
  <si>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</si>
  <si>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</si>
  <si>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</si>
  <si>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</si>
  <si>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</si>
  <si>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</si>
  <si>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</si>
  <si>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</si>
  <si>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</si>
  <si>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</si>
  <si>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</si>
  <si>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</si>
  <si>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</si>
  <si>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</si>
  <si>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</si>
  <si>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</si>
  <si>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</si>
  <si>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</si>
  <si>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</si>
  <si>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</si>
  <si>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</si>
  <si>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</si>
  <si>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</si>
  <si>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</si>
  <si>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</si>
  <si>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</si>
  <si>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</si>
  <si>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</si>
  <si>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</si>
  <si>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</si>
  <si>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</si>
  <si>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</si>
  <si>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</si>
  <si>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</si>
  <si>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</si>
  <si>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</si>
  <si>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</si>
  <si>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</si>
  <si>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</si>
  <si>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</si>
  <si>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</si>
  <si>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</si>
  <si>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</si>
  <si>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</si>
  <si>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</si>
  <si>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</si>
  <si>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</si>
  <si>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</si>
  <si>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</si>
  <si>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</si>
  <si>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</si>
  <si>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</si>
  <si>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</si>
  <si>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</si>
  <si>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</si>
  <si>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</si>
  <si>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</si>
  <si>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</si>
  <si>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</si>
  <si>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</si>
  <si>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</si>
  <si>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</si>
  <si>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</si>
  <si>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</si>
  <si>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</si>
  <si>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</si>
  <si>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</si>
  <si>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</si>
  <si>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</si>
  <si>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</si>
  <si>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</si>
  <si>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</si>
  <si>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</si>
  <si>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</si>
  <si>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</si>
  <si>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</si>
  <si>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</si>
  <si>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</si>
  <si>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</si>
  <si>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</si>
  <si>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</si>
  <si>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</si>
  <si>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</si>
  <si>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</si>
  <si>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</si>
  <si>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</si>
  <si>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</si>
  <si>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</si>
  <si>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</si>
  <si>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</si>
  <si>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</si>
  <si>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</si>
  <si>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</si>
  <si>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</si>
  <si>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</si>
  <si>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</si>
  <si>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</si>
  <si>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</si>
  <si>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</si>
  <si>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</si>
  <si>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</si>
  <si>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</si>
  <si>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</si>
  <si>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</si>
  <si>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</si>
  <si>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</si>
  <si>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</si>
  <si>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</si>
  <si>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</si>
  <si>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</si>
  <si>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</si>
  <si>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</si>
  <si>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</si>
  <si>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</si>
  <si>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</si>
  <si>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</si>
  <si>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</si>
  <si>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</si>
  <si>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</si>
  <si>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</si>
  <si>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</si>
  <si>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</si>
  <si>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</si>
  <si>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</si>
  <si>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</si>
  <si>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</si>
  <si>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</si>
  <si>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</si>
  <si>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</si>
  <si>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</si>
  <si>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</si>
  <si>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</si>
  <si>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</si>
  <si>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</si>
  <si>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</si>
  <si>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</si>
  <si>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</si>
  <si>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</si>
  <si>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</si>
  <si>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</si>
  <si>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</si>
  <si>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</si>
  <si>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</si>
  <si>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</si>
  <si>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</si>
  <si>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</si>
  <si>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</si>
  <si>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</si>
  <si>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</si>
  <si>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</si>
  <si>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</si>
  <si>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</si>
  <si>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</si>
  <si>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</si>
  <si>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</si>
  <si>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</si>
  <si>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</si>
  <si>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</si>
  <si>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</si>
  <si>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</si>
  <si>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</si>
  <si>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</si>
  <si>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</si>
  <si>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</si>
  <si>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</si>
  <si>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</si>
  <si>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</si>
  <si>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</si>
  <si>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</si>
  <si>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</si>
  <si>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</si>
  <si>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</si>
  <si>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</si>
  <si>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</si>
  <si>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</si>
  <si>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</si>
  <si>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</si>
  <si>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</si>
  <si>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</si>
  <si>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</si>
  <si>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</si>
  <si>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</si>
  <si>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</si>
  <si>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</si>
  <si>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</si>
  <si>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</si>
  <si>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</si>
  <si>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</si>
  <si>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</si>
  <si>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</si>
  <si>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</si>
  <si>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</si>
  <si>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</si>
  <si>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</si>
  <si>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</si>
  <si>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</si>
  <si>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</si>
  <si>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</si>
  <si>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</si>
  <si>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</si>
  <si>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</si>
  <si>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</si>
  <si>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</si>
  <si>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</si>
  <si>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</si>
  <si>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</si>
  <si>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</si>
  <si>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</si>
  <si>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</si>
  <si>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</si>
  <si>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</si>
  <si>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</si>
  <si>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</si>
  <si>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</si>
  <si>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</si>
  <si>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</si>
  <si>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</si>
  <si>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</si>
  <si>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</si>
  <si>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</si>
  <si>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</si>
  <si>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</si>
  <si>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</si>
  <si>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</si>
  <si>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</si>
  <si>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</si>
  <si>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</si>
  <si>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</si>
  <si>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</si>
  <si>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</si>
  <si>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</si>
  <si>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</si>
  <si>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</si>
  <si>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</si>
  <si>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</si>
  <si>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</si>
  <si>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</si>
  <si>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</si>
  <si>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</si>
  <si>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</si>
  <si>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</si>
  <si>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</si>
  <si>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</si>
  <si>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</si>
  <si>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</si>
  <si>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</si>
  <si>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</si>
  <si>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</si>
  <si>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</si>
  <si>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</si>
  <si>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</si>
  <si>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</si>
  <si>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</si>
  <si>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</si>
  <si>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</si>
  <si>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</si>
  <si>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</si>
  <si>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</si>
  <si>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</si>
  <si>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</si>
  <si>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</si>
  <si>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</si>
  <si>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</si>
  <si>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</si>
  <si>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</si>
  <si>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</si>
  <si>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</si>
  <si>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</si>
  <si>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</si>
  <si>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</si>
  <si>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</si>
  <si>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</si>
  <si>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</si>
  <si>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</si>
  <si>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</si>
  <si>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</si>
  <si>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</si>
  <si>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</si>
  <si>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</si>
  <si>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</si>
  <si>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</si>
  <si>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</si>
  <si>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</si>
  <si>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</si>
  <si>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</si>
  <si>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</si>
  <si>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</si>
  <si>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</si>
  <si>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</si>
  <si>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</si>
  <si>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</si>
  <si>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</si>
  <si>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</si>
  <si>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</si>
  <si>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</si>
  <si>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</si>
  <si>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</si>
  <si>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</si>
  <si>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</si>
  <si>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</si>
  <si>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</si>
  <si>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</si>
  <si>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</si>
  <si>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</si>
  <si>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</si>
  <si>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</si>
  <si>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</si>
  <si>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</si>
  <si>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</si>
  <si>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</si>
  <si>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</si>
  <si>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</si>
  <si>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</si>
  <si>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</si>
  <si>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</si>
  <si>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</si>
  <si>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</si>
  <si>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</si>
  <si>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</si>
  <si>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</si>
  <si>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</si>
  <si>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</si>
  <si>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</si>
  <si>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</si>
  <si>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</si>
  <si>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</si>
  <si>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</si>
  <si>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</si>
  <si>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</si>
  <si>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</si>
  <si>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</si>
  <si>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</si>
  <si>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</si>
  <si>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</si>
  <si>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</si>
  <si>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</si>
  <si>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</si>
  <si>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</si>
  <si>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</si>
  <si>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</si>
  <si>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</si>
  <si>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</si>
  <si>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</si>
  <si>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</si>
  <si>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</si>
  <si>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</si>
  <si>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</si>
  <si>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</si>
  <si>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</si>
  <si>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</si>
  <si>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</si>
  <si>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</si>
  <si>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</si>
  <si>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</si>
  <si>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</si>
  <si>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</si>
  <si>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</si>
  <si>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</si>
  <si>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</si>
  <si>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</si>
  <si>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</si>
  <si>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</si>
  <si>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</si>
  <si>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</si>
  <si>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</si>
  <si>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</si>
  <si>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</si>
  <si>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</si>
  <si>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</si>
  <si>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</si>
  <si>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</si>
  <si>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</si>
  <si>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</si>
  <si>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</si>
  <si>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</si>
  <si>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</si>
  <si>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</si>
  <si>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</si>
  <si>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</si>
  <si>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</si>
  <si>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</si>
  <si>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</si>
  <si>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</si>
  <si>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</si>
  <si>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</si>
  <si>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</si>
  <si>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</si>
  <si>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</si>
  <si>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</si>
  <si>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</si>
  <si>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</si>
  <si>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</si>
  <si>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</si>
  <si>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</si>
  <si>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</si>
  <si>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</si>
  <si>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</si>
  <si>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</si>
  <si>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</si>
  <si>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</si>
  <si>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</si>
  <si>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</si>
  <si>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</si>
  <si>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</si>
  <si>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</si>
  <si>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</si>
  <si>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</si>
  <si>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</si>
  <si>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</si>
  <si>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</si>
  <si>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</si>
  <si>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</si>
  <si>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</si>
  <si>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</si>
  <si>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</si>
  <si>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</si>
  <si>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</si>
  <si>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</si>
  <si>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</si>
  <si>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</si>
  <si>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</si>
  <si>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</si>
  <si>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</si>
  <si>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</si>
  <si>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</si>
  <si>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</si>
  <si>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</si>
  <si>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</si>
  <si>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</si>
  <si>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</si>
  <si>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</si>
  <si>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</si>
  <si>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</si>
  <si>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</si>
  <si>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</si>
  <si>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</si>
  <si>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</si>
  <si>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</si>
  <si>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</si>
  <si>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</si>
  <si>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</si>
  <si>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</si>
  <si>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</si>
  <si>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</si>
  <si>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</si>
  <si>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</si>
  <si>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</si>
  <si>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</si>
  <si>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</si>
  <si>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</si>
  <si>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</si>
  <si>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</si>
  <si>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</si>
  <si>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</si>
  <si>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</si>
  <si>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</si>
  <si>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</si>
  <si>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</si>
  <si>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</si>
  <si>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</si>
  <si>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</si>
  <si>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</si>
  <si>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</si>
  <si>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</si>
  <si>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</si>
  <si>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</si>
  <si>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</si>
  <si>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</si>
  <si>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</si>
  <si>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</si>
  <si>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</si>
  <si>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</si>
  <si>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</si>
  <si>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</si>
  <si>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</si>
  <si>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</si>
  <si>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</si>
  <si>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</si>
  <si>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</si>
  <si>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</si>
  <si>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</si>
  <si>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</si>
  <si>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</si>
  <si>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</si>
  <si>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</si>
  <si>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</si>
  <si>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</si>
  <si>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</si>
  <si>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</si>
  <si>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</si>
  <si>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</si>
  <si>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</si>
  <si>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</si>
  <si>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</si>
  <si>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</si>
  <si>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</si>
  <si>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</si>
  <si>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</si>
  <si>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</si>
  <si>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</si>
  <si>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</si>
  <si>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</si>
  <si>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</si>
  <si>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</si>
  <si>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</si>
  <si>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</si>
  <si>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</si>
  <si>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</si>
  <si>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</si>
  <si>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</si>
  <si>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</si>
  <si>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</si>
  <si>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</si>
  <si>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</si>
  <si>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</si>
  <si>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</si>
  <si>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</si>
  <si>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</si>
  <si>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</si>
  <si>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</si>
  <si>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</si>
  <si>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</si>
  <si>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</si>
  <si>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</si>
  <si>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</si>
  <si>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</si>
  <si>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</si>
  <si>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</si>
  <si>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</si>
  <si>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</si>
  <si>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</si>
  <si>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</si>
  <si>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</si>
  <si>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</si>
  <si>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</si>
  <si>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</si>
  <si>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</si>
  <si>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</si>
  <si>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</si>
  <si>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</si>
  <si>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</si>
  <si>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</si>
  <si>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</si>
  <si>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</si>
  <si>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</si>
  <si>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</si>
  <si>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</si>
  <si>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</si>
  <si>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</si>
  <si>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</si>
  <si>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</si>
  <si>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</si>
  <si>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</si>
  <si>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</si>
  <si>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</si>
  <si>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</si>
  <si>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</si>
  <si>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</si>
  <si>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</si>
  <si>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</si>
  <si>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</si>
  <si>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</si>
  <si>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</si>
  <si>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</si>
  <si>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</si>
  <si>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</si>
  <si>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</si>
  <si>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</si>
  <si>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</si>
  <si>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</si>
  <si>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</si>
  <si>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</si>
  <si>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</si>
  <si>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</si>
  <si>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</si>
  <si>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</si>
  <si>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</si>
  <si>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</si>
  <si>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</si>
  <si>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</si>
  <si>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</si>
  <si>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</si>
  <si>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</si>
  <si>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</si>
  <si>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</si>
  <si>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</si>
  <si>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</si>
  <si>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</si>
  <si>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</si>
  <si>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</si>
  <si>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</si>
  <si>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</si>
  <si>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</si>
  <si>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</si>
  <si>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</si>
  <si>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</si>
  <si>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</si>
  <si>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</si>
  <si>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</si>
  <si>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</si>
  <si>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</si>
  <si>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</si>
  <si>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</si>
  <si>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</si>
  <si>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</si>
  <si>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</si>
  <si>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</si>
  <si>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</si>
  <si>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</si>
  <si>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</si>
  <si>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</si>
  <si>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</si>
  <si>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</si>
  <si>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</si>
  <si>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</si>
  <si>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</si>
  <si>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</si>
  <si>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</si>
  <si>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</si>
  <si>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</si>
  <si>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</si>
  <si>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</si>
  <si>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</si>
  <si>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</si>
  <si>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</si>
  <si>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</si>
  <si>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</si>
  <si>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</si>
  <si>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</si>
  <si>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</si>
  <si>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</si>
  <si>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</si>
  <si>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</si>
  <si>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</si>
  <si>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</si>
  <si>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</si>
  <si>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</si>
  <si>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</si>
  <si>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</si>
  <si>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</si>
  <si>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</si>
  <si>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</si>
  <si>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</si>
  <si>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</si>
  <si>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</si>
  <si>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1/10</t>
  </si>
  <si>
    <t>8/13</t>
  </si>
  <si>
    <t>1/30</t>
  </si>
  <si>
    <t>8/28</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</si>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</sst>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1400</v>
      </c>
      <c r="B2">
        <f>INDEX('School Tables'!$AH$3:$AH$213,MATCH('DOE25'!A2,'School Tables'!$AJ$3:$AJ$213,0))</f>
        <v>491</v>
      </c>
      <c r="C2">
        <f>INDEX('School Tables'!$AI$3:$AI$213,MATCH('DOE25'!A2,'School Tables'!$AJ$3:$AJ$213,0))</f>
        <v>491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0</v>
      </c>
      <c r="G9" s="18">
        <v>0</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1807197.36</v>
      </c>
      <c r="G12" s="18">
        <v>152958.23000000001</v>
      </c>
      <c r="H12" s="18">
        <v>0</v>
      </c>
      <c r="I12" s="18">
        <v>0</v>
      </c>
      <c r="J12" s="13">
        <f>SUM(I442)</f>
        <v>35885.620000000003</v>
      </c>
      <c r="K12" s="23" t="s">
        <v>288</v>
      </c>
      <c r="L12" s="23" t="s">
        <v>288</v>
      </c>
      <c r="M12" s="8"/>
      <c r="N12" s="164"/>
    </row>
    <row r="13" spans="1:14" s="3" customFormat="1" ht="12.2" customHeight="1" x14ac:dyDescent="0.15">
      <c r="A13" s="1" t="s">
        <v>604</v>
      </c>
      <c r="B13" s="2" t="s">
        <v>289</v>
      </c>
      <c r="C13" s="6">
        <v>5</v>
      </c>
      <c r="D13" s="2" t="s">
        <v>428</v>
      </c>
      <c r="E13" s="6">
        <v>140</v>
      </c>
      <c r="F13" s="18">
        <v>0</v>
      </c>
      <c r="G13" s="18">
        <v>0</v>
      </c>
      <c r="H13" s="18">
        <v>1740076.09</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49307.65</v>
      </c>
      <c r="G14" s="18">
        <v>105647.13</v>
      </c>
      <c r="H14" s="18">
        <v>0</v>
      </c>
      <c r="I14" s="18">
        <v>0</v>
      </c>
      <c r="J14" s="13">
        <f>SUM(I444)</f>
        <v>4545</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1856505.01</v>
      </c>
      <c r="G19" s="38">
        <f>SUM(G9:G18)</f>
        <v>258605.36000000002</v>
      </c>
      <c r="H19" s="38">
        <f>SUM(H9:H18)</f>
        <v>1740076.09</v>
      </c>
      <c r="I19" s="38">
        <f>SUM(I9:I18)</f>
        <v>0</v>
      </c>
      <c r="J19" s="38">
        <f>SUM(J9:J18)</f>
        <v>40430.620000000003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188843.85</v>
      </c>
      <c r="G22" s="18">
        <v>0</v>
      </c>
      <c r="H22" s="18">
        <v>423623.22</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1067491.5900000001</v>
      </c>
      <c r="G24" s="18">
        <v>151852.79999999999</v>
      </c>
      <c r="H24" s="18">
        <v>1282206.04</v>
      </c>
      <c r="I24" s="18">
        <v>0</v>
      </c>
      <c r="J24" s="13">
        <f>SUM(I451)</f>
        <v>1217.52</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600169.56999999995</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20049.98</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1856505.0100000002</v>
      </c>
      <c r="G32" s="38">
        <f>SUM(G22:G31)</f>
        <v>171902.78</v>
      </c>
      <c r="H32" s="38">
        <f>SUM(H22:H31)</f>
        <v>1705829.26</v>
      </c>
      <c r="I32" s="38">
        <f>SUM(I22:I31)</f>
        <v>0</v>
      </c>
      <c r="J32" s="38">
        <f>SUM(J22:J31)</f>
        <v>1217.52</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86702.58</v>
      </c>
      <c r="H48" s="18">
        <v>34246.83</v>
      </c>
      <c r="I48" s="18">
        <v>0</v>
      </c>
      <c r="J48" s="13">
        <f>SUM(I460)</f>
        <v>39213.1</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86702.58</v>
      </c>
      <c r="H51" s="38">
        <f>SUM(H35:H50)</f>
        <v>34246.83</v>
      </c>
      <c r="I51" s="38">
        <f>SUM(I35:I50)</f>
        <v>0</v>
      </c>
      <c r="J51" s="38">
        <f>SUM(J35:J50)</f>
        <v>39213.1</v>
      </c>
      <c r="K51" s="42" t="s">
        <v>288</v>
      </c>
      <c r="L51" s="42" t="s">
        <v>288</v>
      </c>
      <c r="N51" s="130"/>
    </row>
    <row r="52" spans="1:14" s="3" customFormat="1" ht="12.2" customHeight="1" thickTop="1" x14ac:dyDescent="0.15">
      <c r="A52" s="35" t="s">
        <v>455</v>
      </c>
      <c r="B52" s="36" t="s">
        <v>289</v>
      </c>
      <c r="C52" s="6">
        <v>37</v>
      </c>
      <c r="D52" s="36" t="s">
        <v>653</v>
      </c>
      <c r="E52" s="36"/>
      <c r="F52" s="38">
        <f>F51+F32</f>
        <v>1856505.0100000002</v>
      </c>
      <c r="G52" s="38">
        <f>G51+G32</f>
        <v>258605.36</v>
      </c>
      <c r="H52" s="38">
        <f>H51+H32</f>
        <v>1740076.09</v>
      </c>
      <c r="I52" s="38">
        <f>I51+I32</f>
        <v>0</v>
      </c>
      <c r="J52" s="38">
        <f>J51+J32</f>
        <v>40430.619999999995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17648707.02</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17648707.02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42640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44257.82</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f>3000+199.6+2850</f>
        <v>6049.6</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86897.82</v>
      </c>
      <c r="G79" s="42" t="s">
        <v>288</v>
      </c>
      <c r="H79" s="38">
        <f>SUM(H63:H78)</f>
        <v>6049.6</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0</v>
      </c>
      <c r="G96" s="18">
        <v>0</v>
      </c>
      <c r="H96" s="18">
        <v>0</v>
      </c>
      <c r="I96" s="18">
        <v>0</v>
      </c>
      <c r="J96" s="18">
        <v>0</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416108.86+44467.05+2522.45-234899.05+7833.96+49664.45+25174.54</f>
        <v>310872.25999999995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3500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1504.51+170269.1+203997+284.91+34425.51</f>
        <v>410481.02999999997</v>
      </c>
      <c r="G110" s="18">
        <v>20961.07</v>
      </c>
      <c r="H110" s="18">
        <v>0</v>
      </c>
      <c r="I110" s="18">
        <v>0</v>
      </c>
      <c r="J110" s="18">
        <v>106873.93</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413981.02999999997</v>
      </c>
      <c r="G111" s="38">
        <f>SUM(G96:G110)</f>
        <v>331833.32999999996</v>
      </c>
      <c r="H111" s="38">
        <f>SUM(H96:H110)</f>
        <v>0</v>
      </c>
      <c r="I111" s="38">
        <f>SUM(I96:I110)</f>
        <v>0</v>
      </c>
      <c r="J111" s="38">
        <f>SUM(J96:J110)</f>
        <v>106873.93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18149585.870000001</v>
      </c>
      <c r="G112" s="38">
        <f>G60+G111</f>
        <v>331833.32999999996</v>
      </c>
      <c r="H112" s="38">
        <f>H60+H79+H94+H111</f>
        <v>6049.6</v>
      </c>
      <c r="I112" s="38">
        <f>I60+I111</f>
        <v>0</v>
      </c>
      <c r="J112" s="38">
        <f>J60+J111</f>
        <v>106873.93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9179539.3300000001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2083220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20280.38</v>
      </c>
      <c r="G120" s="18">
        <v>42084.15</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11283039.710000001</v>
      </c>
      <c r="G121" s="38">
        <f>SUM(G117:G120)</f>
        <v>42084.15</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471201.24</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489641.04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14362.8</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5058.8</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8116.16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35240.78</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980263.88000000012</v>
      </c>
      <c r="G136" s="38">
        <f>SUM(G123:G135)</f>
        <v>43356.94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12263303.590000002</v>
      </c>
      <c r="G140" s="38">
        <f>G121+SUM(G136:G137)</f>
        <v>85441.09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87361.38+689540.87</f>
        <v>776902.25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25528.07+1676.46+37415.28+2680.05+44043.55+90809.8+5885.62</f>
        <v>208038.83000000002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9299.13+69742.41+51975</f>
        <v>131016.54000000001</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383023.3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1410.84+13106.32+456433.91</f>
        <v>470951.06999999995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124956.85</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f>2605851.85+22436.22+23294.21</f>
        <v>2651582.2800000003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124956.85</v>
      </c>
      <c r="G163" s="38">
        <f>SUM(G150:G162)</f>
        <v>383023.3</v>
      </c>
      <c r="H163" s="38">
        <f>SUM(H150:H162)</f>
        <v>4238490.9700000007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124956.85</v>
      </c>
      <c r="G170" s="38">
        <f>G147+G163+SUM(G164:G169)</f>
        <v>383023.3</v>
      </c>
      <c r="H170" s="38">
        <f>H147+H163+SUM(H164:H169)</f>
        <v>4238490.9700000007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30537846.310000002</v>
      </c>
      <c r="G194" s="38">
        <f>G112+G140+G170+G193</f>
        <v>800297.72</v>
      </c>
      <c r="H194" s="38">
        <f>H112+H140+H170+H193</f>
        <v>4244540.57</v>
      </c>
      <c r="I194" s="38">
        <f>I112+I140+I170+I193</f>
        <v>0</v>
      </c>
      <c r="J194" s="38">
        <f>J112+J140+J193</f>
        <v>106873.93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2394843.42+55143.83-0.01</f>
        <v>2449987.2400000002</v>
      </c>
      <c r="G198" s="18">
        <f>1310821.09+141912.27</f>
        <v>1452733.36</v>
      </c>
      <c r="H198" s="18">
        <f>54224.24+3463.61</f>
        <v>57687.85</v>
      </c>
      <c r="I198" s="18">
        <f>82266.18+18765.59</f>
        <v>101031.76999999999</v>
      </c>
      <c r="J198" s="18">
        <v>1179.58</v>
      </c>
      <c r="K198" s="18">
        <v>0</v>
      </c>
      <c r="L198" s="13">
        <f>SUM(F198:K198)</f>
        <v>4062619.8000000007</v>
      </c>
      <c r="M198" s="8"/>
      <c r="N198" s="164"/>
    </row>
    <row r="199" spans="1:14" s="3" customFormat="1" ht="12.2" customHeight="1" x14ac:dyDescent="0.15">
      <c r="A199" s="1" t="s">
        <v>439</v>
      </c>
      <c r="B199" s="2" t="s">
        <v>341</v>
      </c>
      <c r="C199" s="2" t="s">
        <v>291</v>
      </c>
      <c r="D199" s="2" t="s">
        <v>431</v>
      </c>
      <c r="E199" s="6">
        <v>1200</v>
      </c>
      <c r="F199" s="18">
        <v>1333097.08</v>
      </c>
      <c r="G199" s="18">
        <v>762980.49</v>
      </c>
      <c r="H199" s="18">
        <v>1141031.46</v>
      </c>
      <c r="I199" s="18">
        <v>8411.02</v>
      </c>
      <c r="J199" s="18">
        <v>0</v>
      </c>
      <c r="K199" s="18">
        <v>0</v>
      </c>
      <c r="L199" s="13">
        <f>SUM(F199:K199)</f>
        <v>3245520.0500000003</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77176.94</v>
      </c>
      <c r="G201" s="18">
        <v>23872.29</v>
      </c>
      <c r="H201" s="18">
        <v>9551.68</v>
      </c>
      <c r="I201" s="18">
        <v>4198.33</v>
      </c>
      <c r="J201" s="18">
        <v>0</v>
      </c>
      <c r="K201" s="18">
        <v>0</v>
      </c>
      <c r="L201" s="13">
        <f>SUM(F201:K201)</f>
        <v>114799.24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378641.89</v>
      </c>
      <c r="G203" s="18">
        <v>206793.36</v>
      </c>
      <c r="H203" s="18">
        <v>283910.33</v>
      </c>
      <c r="I203" s="18">
        <v>3852.48</v>
      </c>
      <c r="J203" s="18">
        <v>0</v>
      </c>
      <c r="K203" s="18">
        <v>4401.22</v>
      </c>
      <c r="L203" s="13">
        <f t="shared" ref="L203:L209" si="0">SUM(F203:K203)</f>
        <v>877599.28</v>
      </c>
      <c r="M203" s="8"/>
      <c r="N203" s="164"/>
    </row>
    <row r="204" spans="1:14" s="3" customFormat="1" ht="12.2" customHeight="1" x14ac:dyDescent="0.15">
      <c r="A204" s="1" t="s">
        <v>443</v>
      </c>
      <c r="B204" s="2" t="s">
        <v>341</v>
      </c>
      <c r="C204" s="2" t="s">
        <v>295</v>
      </c>
      <c r="D204" s="2" t="s">
        <v>431</v>
      </c>
      <c r="E204" s="6">
        <v>2200</v>
      </c>
      <c r="F204" s="18">
        <v>66615</v>
      </c>
      <c r="G204" s="18">
        <v>44699.51</v>
      </c>
      <c r="H204" s="18">
        <v>30725.33</v>
      </c>
      <c r="I204" s="18">
        <v>4360.28</v>
      </c>
      <c r="J204" s="18">
        <v>0</v>
      </c>
      <c r="K204" s="18">
        <v>0</v>
      </c>
      <c r="L204" s="13">
        <f t="shared" si="0"/>
        <v>146400.12000000002</v>
      </c>
      <c r="M204" s="8"/>
      <c r="N204" s="164"/>
    </row>
    <row r="205" spans="1:14" s="3" customFormat="1" ht="12.2" customHeight="1" x14ac:dyDescent="0.15">
      <c r="A205" s="1" t="s">
        <v>444</v>
      </c>
      <c r="B205" s="2" t="s">
        <v>341</v>
      </c>
      <c r="C205" s="2" t="s">
        <v>296</v>
      </c>
      <c r="D205" s="2" t="s">
        <v>431</v>
      </c>
      <c r="E205" s="6">
        <v>2300</v>
      </c>
      <c r="F205" s="18">
        <v>362521.99</v>
      </c>
      <c r="G205" s="18">
        <v>148119.85</v>
      </c>
      <c r="H205" s="18">
        <v>152647.12</v>
      </c>
      <c r="I205" s="18">
        <v>11373.29</v>
      </c>
      <c r="J205" s="18">
        <v>2574</v>
      </c>
      <c r="K205" s="18">
        <v>8158.01</v>
      </c>
      <c r="L205" s="13">
        <f t="shared" si="0"/>
        <v>685394.26</v>
      </c>
      <c r="M205" s="8"/>
      <c r="N205" s="164"/>
    </row>
    <row r="206" spans="1:14" s="3" customFormat="1" ht="12.2" customHeight="1" x14ac:dyDescent="0.15">
      <c r="A206" s="1" t="s">
        <v>445</v>
      </c>
      <c r="B206" s="2" t="s">
        <v>341</v>
      </c>
      <c r="C206" s="2" t="s">
        <v>297</v>
      </c>
      <c r="D206" s="2" t="s">
        <v>431</v>
      </c>
      <c r="E206" s="6">
        <v>2400</v>
      </c>
      <c r="F206" s="18">
        <v>551474.6</v>
      </c>
      <c r="G206" s="18">
        <v>265371.24</v>
      </c>
      <c r="H206" s="18">
        <v>6750.47</v>
      </c>
      <c r="I206" s="18">
        <v>2761.21</v>
      </c>
      <c r="J206" s="18">
        <v>169.99</v>
      </c>
      <c r="K206" s="18">
        <v>2718</v>
      </c>
      <c r="L206" s="13">
        <f t="shared" si="0"/>
        <v>829245.50999999989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416145.58</v>
      </c>
      <c r="G208" s="18">
        <v>207043.86</v>
      </c>
      <c r="H208" s="18">
        <v>465157.32</v>
      </c>
      <c r="I208" s="18">
        <v>272270.51</v>
      </c>
      <c r="J208" s="18">
        <v>17166.240000000002</v>
      </c>
      <c r="K208" s="18">
        <v>0</v>
      </c>
      <c r="L208" s="13">
        <f t="shared" si="0"/>
        <v>1377783.51</v>
      </c>
      <c r="M208" s="8"/>
      <c r="N208" s="164"/>
    </row>
    <row r="209" spans="1:14" s="3" customFormat="1" ht="12.2" customHeight="1" x14ac:dyDescent="0.15">
      <c r="A209" s="1" t="s">
        <v>448</v>
      </c>
      <c r="B209" s="2" t="s">
        <v>341</v>
      </c>
      <c r="C209" s="2" t="s">
        <v>300</v>
      </c>
      <c r="D209" s="2" t="s">
        <v>431</v>
      </c>
      <c r="E209" s="6">
        <v>2700</v>
      </c>
      <c r="F209" s="18">
        <v>0</v>
      </c>
      <c r="G209" s="18">
        <v>0</v>
      </c>
      <c r="H209" s="18">
        <v>762257.01</v>
      </c>
      <c r="I209" s="18">
        <v>560.62</v>
      </c>
      <c r="J209" s="18">
        <v>0</v>
      </c>
      <c r="K209" s="18">
        <v>0</v>
      </c>
      <c r="L209" s="13">
        <f t="shared" si="0"/>
        <v>762817.63</v>
      </c>
      <c r="M209" s="8"/>
      <c r="N209" s="164"/>
    </row>
    <row r="210" spans="1:14" s="3" customFormat="1" ht="12.2" customHeight="1" x14ac:dyDescent="0.15">
      <c r="A210" s="1" t="s">
        <v>449</v>
      </c>
      <c r="B210" s="2" t="s">
        <v>341</v>
      </c>
      <c r="C210" s="2" t="s">
        <v>343</v>
      </c>
      <c r="D210" s="2" t="s">
        <v>431</v>
      </c>
      <c r="E210" s="6">
        <v>2800</v>
      </c>
      <c r="F210" s="18">
        <v>1249.4000000000001</v>
      </c>
      <c r="G210" s="18">
        <v>264.69</v>
      </c>
      <c r="H210" s="18">
        <v>113767.01</v>
      </c>
      <c r="I210" s="18">
        <v>64788.37</v>
      </c>
      <c r="J210" s="18">
        <v>151012.62</v>
      </c>
      <c r="K210" s="18">
        <v>0</v>
      </c>
      <c r="L210" s="13">
        <f>SUM(F210:K210)</f>
        <v>331082.08999999997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5636909.7200000007</v>
      </c>
      <c r="G212" s="38">
        <f t="shared" si="1"/>
        <v>3111878.6499999994</v>
      </c>
      <c r="H212" s="38">
        <f t="shared" si="1"/>
        <v>3023485.58</v>
      </c>
      <c r="I212" s="38">
        <f t="shared" si="1"/>
        <v>473607.88</v>
      </c>
      <c r="J212" s="38">
        <f t="shared" si="1"/>
        <v>172102.43</v>
      </c>
      <c r="K212" s="38">
        <f t="shared" si="1"/>
        <v>15277.23</v>
      </c>
      <c r="L212" s="38">
        <f t="shared" si="1"/>
        <v>12433261.490000002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1406347.64+26609.09-0.02</f>
        <v>1432956.71</v>
      </c>
      <c r="G216" s="18">
        <f>734825.44+68478.3</f>
        <v>803303.74</v>
      </c>
      <c r="H216" s="18">
        <f>43450.52+1671.33</f>
        <v>45121.85</v>
      </c>
      <c r="I216" s="18">
        <f>37348.1+8808.34</f>
        <v>46156.44</v>
      </c>
      <c r="J216" s="18">
        <v>3297.13</v>
      </c>
      <c r="K216" s="18">
        <v>0</v>
      </c>
      <c r="L216" s="13">
        <f>SUM(F216:K216)</f>
        <v>2330835.87</v>
      </c>
      <c r="M216" s="8"/>
      <c r="N216" s="164"/>
    </row>
    <row r="217" spans="1:14" s="3" customFormat="1" ht="12.2" customHeight="1" x14ac:dyDescent="0.15">
      <c r="A217" s="1" t="s">
        <v>439</v>
      </c>
      <c r="B217" s="2" t="s">
        <v>346</v>
      </c>
      <c r="C217" s="2" t="s">
        <v>291</v>
      </c>
      <c r="D217" s="2" t="s">
        <v>431</v>
      </c>
      <c r="E217" s="6">
        <v>1200</v>
      </c>
      <c r="F217" s="18">
        <v>613899.79</v>
      </c>
      <c r="G217" s="18">
        <v>446999.69</v>
      </c>
      <c r="H217" s="18">
        <v>435922.63</v>
      </c>
      <c r="I217" s="18">
        <v>5390.63</v>
      </c>
      <c r="J217" s="18">
        <v>0</v>
      </c>
      <c r="K217" s="18">
        <v>0</v>
      </c>
      <c r="L217" s="13">
        <f>SUM(F217:K217)</f>
        <v>1502212.7399999998</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63489.94</v>
      </c>
      <c r="G219" s="18">
        <v>17928.650000000001</v>
      </c>
      <c r="H219" s="18">
        <v>8651.06</v>
      </c>
      <c r="I219" s="18">
        <v>3904.82</v>
      </c>
      <c r="J219" s="18">
        <v>2207</v>
      </c>
      <c r="K219" s="18">
        <v>2158.75</v>
      </c>
      <c r="L219" s="13">
        <f>SUM(F219:K219)</f>
        <v>98340.22</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227465.47</v>
      </c>
      <c r="G221" s="18">
        <v>107780.73</v>
      </c>
      <c r="H221" s="18">
        <v>84497.83</v>
      </c>
      <c r="I221" s="18">
        <v>2140.85</v>
      </c>
      <c r="J221" s="18">
        <v>0</v>
      </c>
      <c r="K221" s="18">
        <v>2381.7600000000002</v>
      </c>
      <c r="L221" s="13">
        <f t="shared" ref="L221:L227" si="2">SUM(F221:K221)</f>
        <v>424266.64</v>
      </c>
      <c r="M221" s="8"/>
      <c r="N221" s="164"/>
    </row>
    <row r="222" spans="1:14" s="3" customFormat="1" ht="12.2" customHeight="1" x14ac:dyDescent="0.15">
      <c r="A222" s="1" t="s">
        <v>443</v>
      </c>
      <c r="B222" s="2" t="s">
        <v>346</v>
      </c>
      <c r="C222" s="2" t="s">
        <v>295</v>
      </c>
      <c r="D222" s="2" t="s">
        <v>431</v>
      </c>
      <c r="E222" s="6">
        <v>2200</v>
      </c>
      <c r="F222" s="18">
        <v>53094</v>
      </c>
      <c r="G222" s="18">
        <v>42748.53</v>
      </c>
      <c r="H222" s="18">
        <v>14901.22</v>
      </c>
      <c r="I222" s="18">
        <v>4854.8999999999996</v>
      </c>
      <c r="J222" s="18">
        <v>0</v>
      </c>
      <c r="K222" s="18">
        <v>0</v>
      </c>
      <c r="L222" s="13">
        <f t="shared" si="2"/>
        <v>115598.65</v>
      </c>
      <c r="M222" s="8"/>
      <c r="N222" s="164"/>
    </row>
    <row r="223" spans="1:14" s="3" customFormat="1" ht="12.2" customHeight="1" x14ac:dyDescent="0.15">
      <c r="A223" s="1" t="s">
        <v>444</v>
      </c>
      <c r="B223" s="2" t="s">
        <v>346</v>
      </c>
      <c r="C223" s="2" t="s">
        <v>296</v>
      </c>
      <c r="D223" s="2" t="s">
        <v>431</v>
      </c>
      <c r="E223" s="6">
        <v>2300</v>
      </c>
      <c r="F223" s="18">
        <v>174931.24</v>
      </c>
      <c r="G223" s="18">
        <v>71473.710000000006</v>
      </c>
      <c r="H223" s="18">
        <v>16835.740000000002</v>
      </c>
      <c r="I223" s="18">
        <v>5488.06</v>
      </c>
      <c r="J223" s="18">
        <v>1242.06</v>
      </c>
      <c r="K223" s="18">
        <v>3936.56</v>
      </c>
      <c r="L223" s="13">
        <f t="shared" si="2"/>
        <v>273907.37</v>
      </c>
      <c r="M223" s="8"/>
      <c r="N223" s="164"/>
    </row>
    <row r="224" spans="1:14" s="3" customFormat="1" ht="12.2" customHeight="1" x14ac:dyDescent="0.15">
      <c r="A224" s="1" t="s">
        <v>445</v>
      </c>
      <c r="B224" s="2" t="s">
        <v>346</v>
      </c>
      <c r="C224" s="2" t="s">
        <v>297</v>
      </c>
      <c r="D224" s="2" t="s">
        <v>431</v>
      </c>
      <c r="E224" s="6">
        <v>2400</v>
      </c>
      <c r="F224" s="18">
        <v>298865.73</v>
      </c>
      <c r="G224" s="18">
        <v>167381.66</v>
      </c>
      <c r="H224" s="18">
        <v>4031.51</v>
      </c>
      <c r="I224" s="18">
        <v>11657.67</v>
      </c>
      <c r="J224" s="18">
        <v>137.99</v>
      </c>
      <c r="K224" s="18">
        <v>1445</v>
      </c>
      <c r="L224" s="13">
        <f t="shared" si="2"/>
        <v>483519.56</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203351.11</v>
      </c>
      <c r="G226" s="18">
        <v>108834.58</v>
      </c>
      <c r="H226" s="18">
        <v>272969.55</v>
      </c>
      <c r="I226" s="18">
        <v>115443.94</v>
      </c>
      <c r="J226" s="18">
        <v>6669.68</v>
      </c>
      <c r="K226" s="18">
        <v>0</v>
      </c>
      <c r="L226" s="13">
        <f t="shared" si="2"/>
        <v>707268.86</v>
      </c>
      <c r="M226" s="8"/>
      <c r="N226" s="164"/>
    </row>
    <row r="227" spans="1:14" s="3" customFormat="1" ht="12.2" customHeight="1" x14ac:dyDescent="0.15">
      <c r="A227" s="1" t="s">
        <v>448</v>
      </c>
      <c r="B227" s="2" t="s">
        <v>346</v>
      </c>
      <c r="C227" s="2" t="s">
        <v>300</v>
      </c>
      <c r="D227" s="2" t="s">
        <v>431</v>
      </c>
      <c r="E227" s="6">
        <v>2700</v>
      </c>
      <c r="F227" s="18">
        <v>0</v>
      </c>
      <c r="G227" s="18">
        <v>0</v>
      </c>
      <c r="H227" s="18">
        <v>373948.69</v>
      </c>
      <c r="I227" s="18">
        <v>270.52</v>
      </c>
      <c r="J227" s="18">
        <v>0</v>
      </c>
      <c r="K227" s="18">
        <v>0</v>
      </c>
      <c r="L227" s="13">
        <f t="shared" si="2"/>
        <v>374219.21</v>
      </c>
      <c r="M227" s="8"/>
      <c r="N227" s="164"/>
    </row>
    <row r="228" spans="1:14" s="3" customFormat="1" ht="12.2" customHeight="1" x14ac:dyDescent="0.15">
      <c r="A228" s="1" t="s">
        <v>449</v>
      </c>
      <c r="B228" s="2" t="s">
        <v>346</v>
      </c>
      <c r="C228" s="2" t="s">
        <v>343</v>
      </c>
      <c r="D228" s="2" t="s">
        <v>431</v>
      </c>
      <c r="E228" s="6">
        <v>2800</v>
      </c>
      <c r="F228" s="18">
        <v>602.89</v>
      </c>
      <c r="G228" s="18">
        <v>127.72</v>
      </c>
      <c r="H228" s="18">
        <v>54897.1</v>
      </c>
      <c r="I228" s="18">
        <v>31262.959999999999</v>
      </c>
      <c r="J228" s="18">
        <v>72869.58</v>
      </c>
      <c r="K228" s="18">
        <v>0</v>
      </c>
      <c r="L228" s="13">
        <f>SUM(F228:K228)</f>
        <v>159760.25</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3068656.8800000004</v>
      </c>
      <c r="G230" s="38">
        <f>SUM(G216:G229)</f>
        <v>1766579.0099999998</v>
      </c>
      <c r="H230" s="38">
        <f>SUM(H216:H229)</f>
        <v>1311777.18</v>
      </c>
      <c r="I230" s="38">
        <f>SUM(I216:I229)</f>
        <v>226570.78999999998</v>
      </c>
      <c r="J230" s="38">
        <f>SUM(J216:J229)</f>
        <v>86423.44</v>
      </c>
      <c r="K230" s="38">
        <f t="shared" si="3"/>
        <v>9922.07</v>
      </c>
      <c r="L230" s="38">
        <f t="shared" si="3"/>
        <v>6469929.3700000001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1425658.53+32561.12-0.04+0.03</f>
        <v>1458219.6400000001</v>
      </c>
      <c r="G234" s="18">
        <f>745447.66+83795.81</f>
        <v>829243.47</v>
      </c>
      <c r="H234" s="18">
        <f>38880.3+2045.18</f>
        <v>40925.480000000003</v>
      </c>
      <c r="I234" s="18">
        <f>47033.62+10723.19</f>
        <v>57756.810000000005</v>
      </c>
      <c r="J234" s="18">
        <v>3737.28</v>
      </c>
      <c r="K234" s="18">
        <v>0</v>
      </c>
      <c r="L234" s="13">
        <f>SUM(F234:K234)</f>
        <v>2389882.6800000002</v>
      </c>
      <c r="M234" s="8"/>
      <c r="N234" s="164"/>
    </row>
    <row r="235" spans="1:14" s="3" customFormat="1" ht="12.2" customHeight="1" x14ac:dyDescent="0.15">
      <c r="A235" s="1" t="s">
        <v>439</v>
      </c>
      <c r="B235" s="2" t="s">
        <v>350</v>
      </c>
      <c r="C235" s="2" t="s">
        <v>291</v>
      </c>
      <c r="D235" s="2" t="s">
        <v>431</v>
      </c>
      <c r="E235" s="6">
        <v>1200</v>
      </c>
      <c r="F235" s="18">
        <v>752400.93</v>
      </c>
      <c r="G235" s="18">
        <v>419437.24</v>
      </c>
      <c r="H235" s="18">
        <v>1398127.84</v>
      </c>
      <c r="I235" s="18">
        <v>4980.21</v>
      </c>
      <c r="J235" s="18">
        <v>0</v>
      </c>
      <c r="K235" s="18">
        <v>0</v>
      </c>
      <c r="L235" s="13">
        <f>SUM(F235:K235)</f>
        <v>2574946.2199999997</v>
      </c>
      <c r="M235" s="8"/>
      <c r="N235" s="164"/>
    </row>
    <row r="236" spans="1:14" s="3" customFormat="1" ht="12.2" customHeight="1" x14ac:dyDescent="0.15">
      <c r="A236" s="1" t="s">
        <v>440</v>
      </c>
      <c r="B236" s="2" t="s">
        <v>350</v>
      </c>
      <c r="C236" s="2" t="s">
        <v>292</v>
      </c>
      <c r="D236" s="2" t="s">
        <v>431</v>
      </c>
      <c r="E236" s="6">
        <v>1300</v>
      </c>
      <c r="F236" s="18">
        <v>509314.12</v>
      </c>
      <c r="G236" s="18">
        <v>295607.52</v>
      </c>
      <c r="H236" s="18">
        <v>52151.93</v>
      </c>
      <c r="I236" s="18">
        <v>56752.76</v>
      </c>
      <c r="J236" s="18">
        <v>42450.02</v>
      </c>
      <c r="K236" s="18">
        <v>0</v>
      </c>
      <c r="L236" s="13">
        <f>SUM(F236:K236)</f>
        <v>956276.35000000009</v>
      </c>
      <c r="M236" s="8"/>
      <c r="N236" s="164"/>
    </row>
    <row r="237" spans="1:14" s="3" customFormat="1" ht="12.2" customHeight="1" x14ac:dyDescent="0.15">
      <c r="A237" s="1" t="s">
        <v>441</v>
      </c>
      <c r="B237" s="2" t="s">
        <v>350</v>
      </c>
      <c r="C237" s="2" t="s">
        <v>293</v>
      </c>
      <c r="D237" s="2" t="s">
        <v>431</v>
      </c>
      <c r="E237" s="6">
        <v>1400</v>
      </c>
      <c r="F237" s="18">
        <v>180421.15</v>
      </c>
      <c r="G237" s="18">
        <v>42488.68</v>
      </c>
      <c r="H237" s="18">
        <v>22214.35</v>
      </c>
      <c r="I237" s="18">
        <v>29086.73</v>
      </c>
      <c r="J237" s="18">
        <v>1881.88</v>
      </c>
      <c r="K237" s="18">
        <v>7389.4</v>
      </c>
      <c r="L237" s="13">
        <f>SUM(F237:K237)</f>
        <v>283482.19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197147.05</v>
      </c>
      <c r="G239" s="18">
        <v>94503.56</v>
      </c>
      <c r="H239" s="18">
        <v>104186.82</v>
      </c>
      <c r="I239" s="18">
        <v>2544.54</v>
      </c>
      <c r="J239" s="18">
        <v>465.99</v>
      </c>
      <c r="K239" s="18">
        <v>6614.65</v>
      </c>
      <c r="L239" s="13">
        <f t="shared" ref="L239:L245" si="4">SUM(F239:K239)</f>
        <v>405462.61</v>
      </c>
      <c r="M239" s="8"/>
      <c r="N239" s="164"/>
    </row>
    <row r="240" spans="1:14" s="3" customFormat="1" ht="12.2" customHeight="1" x14ac:dyDescent="0.15">
      <c r="A240" s="1" t="s">
        <v>443</v>
      </c>
      <c r="B240" s="2" t="s">
        <v>350</v>
      </c>
      <c r="C240" s="2" t="s">
        <v>295</v>
      </c>
      <c r="D240" s="2" t="s">
        <v>431</v>
      </c>
      <c r="E240" s="6">
        <v>2200</v>
      </c>
      <c r="F240" s="18">
        <v>84391.84</v>
      </c>
      <c r="G240" s="18">
        <v>62584.19</v>
      </c>
      <c r="H240" s="18">
        <v>36917.879999999997</v>
      </c>
      <c r="I240" s="18">
        <v>12854.56</v>
      </c>
      <c r="J240" s="18">
        <v>1470.26</v>
      </c>
      <c r="K240" s="18">
        <v>187</v>
      </c>
      <c r="L240" s="13">
        <f t="shared" si="4"/>
        <v>198405.73</v>
      </c>
      <c r="M240" s="8"/>
      <c r="N240" s="164"/>
    </row>
    <row r="241" spans="1:14" s="3" customFormat="1" ht="12.2" customHeight="1" x14ac:dyDescent="0.15">
      <c r="A241" s="1" t="s">
        <v>444</v>
      </c>
      <c r="B241" s="2" t="s">
        <v>350</v>
      </c>
      <c r="C241" s="2" t="s">
        <v>296</v>
      </c>
      <c r="D241" s="2" t="s">
        <v>431</v>
      </c>
      <c r="E241" s="6">
        <v>2300</v>
      </c>
      <c r="F241" s="18">
        <v>214060.6</v>
      </c>
      <c r="G241" s="18">
        <v>87461.25</v>
      </c>
      <c r="H241" s="18">
        <v>20601.63</v>
      </c>
      <c r="I241" s="18">
        <v>6715.66</v>
      </c>
      <c r="J241" s="18">
        <v>1519.89</v>
      </c>
      <c r="K241" s="18">
        <v>4817.1099999999997</v>
      </c>
      <c r="L241" s="13">
        <f t="shared" si="4"/>
        <v>335176.13999999996</v>
      </c>
      <c r="M241" s="8"/>
      <c r="N241" s="164"/>
    </row>
    <row r="242" spans="1:14" s="3" customFormat="1" ht="12.2" customHeight="1" x14ac:dyDescent="0.15">
      <c r="A242" s="1" t="s">
        <v>445</v>
      </c>
      <c r="B242" s="2" t="s">
        <v>350</v>
      </c>
      <c r="C242" s="2" t="s">
        <v>297</v>
      </c>
      <c r="D242" s="2" t="s">
        <v>431</v>
      </c>
      <c r="E242" s="6">
        <v>2400</v>
      </c>
      <c r="F242" s="18">
        <v>487968.62</v>
      </c>
      <c r="G242" s="18">
        <v>254041.83</v>
      </c>
      <c r="H242" s="18">
        <v>18980.259999999998</v>
      </c>
      <c r="I242" s="18">
        <v>3449.58</v>
      </c>
      <c r="J242" s="18">
        <v>47088.3</v>
      </c>
      <c r="K242" s="18">
        <v>6170</v>
      </c>
      <c r="L242" s="13">
        <f t="shared" si="4"/>
        <v>817698.59</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311969.67</v>
      </c>
      <c r="G244" s="18">
        <v>152293.75</v>
      </c>
      <c r="H244" s="18">
        <v>397998.7</v>
      </c>
      <c r="I244" s="18">
        <v>298516.90999999997</v>
      </c>
      <c r="J244" s="18">
        <v>10179.19</v>
      </c>
      <c r="K244" s="18">
        <v>0</v>
      </c>
      <c r="L244" s="13">
        <f t="shared" si="4"/>
        <v>1170958.22</v>
      </c>
      <c r="M244" s="8"/>
      <c r="N244" s="164"/>
    </row>
    <row r="245" spans="1:14" s="3" customFormat="1" ht="12.2" customHeight="1" x14ac:dyDescent="0.15">
      <c r="A245" s="1" t="s">
        <v>448</v>
      </c>
      <c r="B245" s="2" t="s">
        <v>350</v>
      </c>
      <c r="C245" s="2" t="s">
        <v>300</v>
      </c>
      <c r="D245" s="2" t="s">
        <v>431</v>
      </c>
      <c r="E245" s="6">
        <v>2700</v>
      </c>
      <c r="F245" s="18">
        <v>0</v>
      </c>
      <c r="G245" s="18">
        <v>0</v>
      </c>
      <c r="H245" s="18">
        <v>577295.75</v>
      </c>
      <c r="I245" s="18">
        <v>331.03</v>
      </c>
      <c r="J245" s="18">
        <v>0</v>
      </c>
      <c r="K245" s="18">
        <v>0</v>
      </c>
      <c r="L245" s="13">
        <f t="shared" si="4"/>
        <v>577626.78</v>
      </c>
      <c r="M245" s="8"/>
      <c r="N245" s="164"/>
    </row>
    <row r="246" spans="1:14" s="3" customFormat="1" ht="12.2" customHeight="1" x14ac:dyDescent="0.15">
      <c r="A246" s="1" t="s">
        <v>449</v>
      </c>
      <c r="B246" s="2" t="s">
        <v>350</v>
      </c>
      <c r="C246" s="2" t="s">
        <v>343</v>
      </c>
      <c r="D246" s="2" t="s">
        <v>431</v>
      </c>
      <c r="E246" s="6">
        <v>2800</v>
      </c>
      <c r="F246" s="18">
        <v>737.74</v>
      </c>
      <c r="G246" s="18">
        <v>156.29</v>
      </c>
      <c r="H246" s="18">
        <v>67176.710000000006</v>
      </c>
      <c r="I246" s="18">
        <v>38255.99</v>
      </c>
      <c r="J246" s="18">
        <v>89169.35</v>
      </c>
      <c r="K246" s="18">
        <v>0</v>
      </c>
      <c r="L246" s="13">
        <f>SUM(F246:K246)</f>
        <v>195496.08000000002</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4196631.3600000003</v>
      </c>
      <c r="G248" s="38">
        <f t="shared" si="5"/>
        <v>2237817.7800000003</v>
      </c>
      <c r="H248" s="38">
        <f t="shared" si="5"/>
        <v>2736577.3499999996</v>
      </c>
      <c r="I248" s="38">
        <f t="shared" si="5"/>
        <v>511244.78</v>
      </c>
      <c r="J248" s="38">
        <f t="shared" si="5"/>
        <v>197962.16</v>
      </c>
      <c r="K248" s="38">
        <f t="shared" si="5"/>
        <v>25178.16</v>
      </c>
      <c r="L248" s="38">
        <f t="shared" si="5"/>
        <v>9905411.5899999999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12902197.960000001</v>
      </c>
      <c r="G258" s="38">
        <f t="shared" si="8"/>
        <v>7116275.4399999995</v>
      </c>
      <c r="H258" s="38">
        <f t="shared" si="8"/>
        <v>7071840.1099999994</v>
      </c>
      <c r="I258" s="38">
        <f t="shared" si="8"/>
        <v>1211423.45</v>
      </c>
      <c r="J258" s="38">
        <f t="shared" si="8"/>
        <v>456488.03</v>
      </c>
      <c r="K258" s="38">
        <f t="shared" si="8"/>
        <v>50377.46</v>
      </c>
      <c r="L258" s="38">
        <f t="shared" si="8"/>
        <v>28808602.450000003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1092919.73</v>
      </c>
      <c r="L261" s="13">
        <f>SUM(F261:K261)</f>
        <v>1092919.73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736324.13</v>
      </c>
      <c r="L262" s="13">
        <f>SUM(F262:K262)</f>
        <v>736324.13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1829243.8599999999</v>
      </c>
      <c r="L271" s="38">
        <f t="shared" si="9"/>
        <v>1829243.8599999999</v>
      </c>
      <c r="M271" s="8"/>
      <c r="N271" s="164"/>
    </row>
    <row r="272" spans="1:14" s="33" customFormat="1" ht="12.2" customHeight="1" thickTop="1" x14ac:dyDescent="0.2">
      <c r="A272" s="40" t="s">
        <v>464</v>
      </c>
      <c r="B272" s="37">
        <v>10</v>
      </c>
      <c r="C272" s="37">
        <v>18</v>
      </c>
      <c r="D272" s="36" t="s">
        <v>431</v>
      </c>
      <c r="E272" s="37"/>
      <c r="F272" s="39">
        <f t="shared" ref="F272:L272" si="11">F258+F271</f>
        <v>12902197.960000001</v>
      </c>
      <c r="G272" s="39">
        <f t="shared" si="11"/>
        <v>7116275.4399999995</v>
      </c>
      <c r="H272" s="39">
        <f t="shared" si="11"/>
        <v>7071840.1099999994</v>
      </c>
      <c r="I272" s="39">
        <f t="shared" si="11"/>
        <v>1211423.45</v>
      </c>
      <c r="J272" s="39">
        <f t="shared" si="11"/>
        <v>456488.03</v>
      </c>
      <c r="K272" s="39">
        <f t="shared" si="11"/>
        <v>1879621.3199999998</v>
      </c>
      <c r="L272" s="39">
        <f t="shared" si="11"/>
        <v>30637846.310000002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203378</v>
      </c>
      <c r="G277" s="18">
        <v>92443.5</v>
      </c>
      <c r="H277" s="18">
        <v>9381.1</v>
      </c>
      <c r="I277" s="18">
        <v>8290.8799999999992</v>
      </c>
      <c r="J277" s="18">
        <v>5787.68</v>
      </c>
      <c r="K277" s="18">
        <v>0</v>
      </c>
      <c r="L277" s="13">
        <f>SUM(F277:K277)</f>
        <v>319281.15999999997</v>
      </c>
      <c r="M277" s="8"/>
      <c r="N277" s="164"/>
    </row>
    <row r="278" spans="1:14" s="3" customFormat="1" ht="12.2" customHeight="1" x14ac:dyDescent="0.15">
      <c r="A278" s="1" t="s">
        <v>439</v>
      </c>
      <c r="B278" s="2" t="s">
        <v>357</v>
      </c>
      <c r="C278" s="2" t="s">
        <v>291</v>
      </c>
      <c r="D278" s="2" t="s">
        <v>431</v>
      </c>
      <c r="E278" s="6">
        <v>1200</v>
      </c>
      <c r="F278" s="18">
        <v>166709.96</v>
      </c>
      <c r="G278" s="18">
        <v>48334.95</v>
      </c>
      <c r="H278" s="18">
        <v>421817</v>
      </c>
      <c r="I278" s="18">
        <v>3606.63</v>
      </c>
      <c r="J278" s="18">
        <v>1004.33</v>
      </c>
      <c r="K278" s="18">
        <v>311.86</v>
      </c>
      <c r="L278" s="13">
        <f>SUM(F278:K278)</f>
        <v>641784.72999999986</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25670.33</v>
      </c>
      <c r="G280" s="18">
        <v>4344.6899999999996</v>
      </c>
      <c r="H280" s="18">
        <v>6603.37</v>
      </c>
      <c r="I280" s="18">
        <v>4845.8599999999997</v>
      </c>
      <c r="J280" s="18">
        <v>0</v>
      </c>
      <c r="K280" s="18">
        <v>0</v>
      </c>
      <c r="L280" s="13">
        <f>SUM(F280:K280)</f>
        <v>41464.25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74463.179999999993</v>
      </c>
      <c r="G282" s="18">
        <v>29443.93</v>
      </c>
      <c r="H282" s="18">
        <v>13750.95</v>
      </c>
      <c r="I282" s="18">
        <v>24.6</v>
      </c>
      <c r="J282" s="18">
        <v>0</v>
      </c>
      <c r="K282" s="18">
        <v>0</v>
      </c>
      <c r="L282" s="13">
        <f t="shared" ref="L282:L288" si="12">SUM(F282:K282)</f>
        <v>117682.65999999999</v>
      </c>
      <c r="M282" s="8"/>
      <c r="N282" s="164"/>
    </row>
    <row r="283" spans="1:14" s="3" customFormat="1" ht="12.2" customHeight="1" x14ac:dyDescent="0.15">
      <c r="A283" s="1" t="s">
        <v>443</v>
      </c>
      <c r="B283" s="2" t="s">
        <v>357</v>
      </c>
      <c r="C283" s="2" t="s">
        <v>295</v>
      </c>
      <c r="D283" s="2" t="s">
        <v>431</v>
      </c>
      <c r="E283" s="6">
        <v>2200</v>
      </c>
      <c r="F283" s="18">
        <v>70175.509999999995</v>
      </c>
      <c r="G283" s="18">
        <v>20143.64</v>
      </c>
      <c r="H283" s="18">
        <v>21957.67</v>
      </c>
      <c r="I283" s="18">
        <v>1290.58</v>
      </c>
      <c r="J283" s="18">
        <v>0</v>
      </c>
      <c r="K283" s="18">
        <v>0</v>
      </c>
      <c r="L283" s="13">
        <f t="shared" si="12"/>
        <v>113567.4</v>
      </c>
      <c r="M283" s="8"/>
      <c r="N283" s="164"/>
    </row>
    <row r="284" spans="1:14" s="3" customFormat="1" ht="12.2" customHeight="1" x14ac:dyDescent="0.15">
      <c r="A284" s="1" t="s">
        <v>444</v>
      </c>
      <c r="B284" s="2" t="s">
        <v>357</v>
      </c>
      <c r="C284" s="2" t="s">
        <v>296</v>
      </c>
      <c r="D284" s="2" t="s">
        <v>431</v>
      </c>
      <c r="E284" s="6">
        <v>2300</v>
      </c>
      <c r="F284" s="18">
        <v>0</v>
      </c>
      <c r="G284" s="18">
        <v>0</v>
      </c>
      <c r="H284" s="18">
        <v>1754.33</v>
      </c>
      <c r="I284" s="18">
        <v>5788.67</v>
      </c>
      <c r="J284" s="18">
        <v>0</v>
      </c>
      <c r="K284" s="18">
        <v>0</v>
      </c>
      <c r="L284" s="13">
        <f t="shared" si="12"/>
        <v>7543</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2363.71</v>
      </c>
      <c r="G286" s="18">
        <v>495.25</v>
      </c>
      <c r="H286" s="18">
        <v>4.45</v>
      </c>
      <c r="I286" s="18">
        <v>218.1</v>
      </c>
      <c r="J286" s="18">
        <v>0</v>
      </c>
      <c r="K286" s="18">
        <v>12680.61</v>
      </c>
      <c r="L286" s="13">
        <f t="shared" si="12"/>
        <v>15762.12</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22237.8</v>
      </c>
      <c r="I288" s="18">
        <v>0</v>
      </c>
      <c r="J288" s="18">
        <v>0</v>
      </c>
      <c r="K288" s="18">
        <v>0</v>
      </c>
      <c r="L288" s="13">
        <f t="shared" si="12"/>
        <v>22237.8</v>
      </c>
      <c r="M288" s="8"/>
      <c r="N288" s="164"/>
    </row>
    <row r="289" spans="1:14" s="3" customFormat="1" ht="12.2" customHeight="1" x14ac:dyDescent="0.15">
      <c r="A289" s="1" t="s">
        <v>449</v>
      </c>
      <c r="B289" s="2" t="s">
        <v>357</v>
      </c>
      <c r="C289" s="2" t="s">
        <v>343</v>
      </c>
      <c r="D289" s="2" t="s">
        <v>431</v>
      </c>
      <c r="E289" s="6">
        <v>2800</v>
      </c>
      <c r="F289" s="18">
        <v>0</v>
      </c>
      <c r="G289" s="18">
        <v>0</v>
      </c>
      <c r="H289" s="18">
        <v>1537.37</v>
      </c>
      <c r="I289" s="18">
        <v>0</v>
      </c>
      <c r="J289" s="18">
        <v>0</v>
      </c>
      <c r="K289" s="18">
        <v>0</v>
      </c>
      <c r="L289" s="13">
        <f>SUM(F289:K289)</f>
        <v>1537.37</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542760.68999999994</v>
      </c>
      <c r="G291" s="39">
        <f t="shared" si="13"/>
        <v>195205.96000000002</v>
      </c>
      <c r="H291" s="39">
        <f t="shared" si="13"/>
        <v>499044.04</v>
      </c>
      <c r="I291" s="39">
        <f t="shared" si="13"/>
        <v>24065.319999999992</v>
      </c>
      <c r="J291" s="39">
        <f t="shared" si="13"/>
        <v>6792.01</v>
      </c>
      <c r="K291" s="39">
        <f t="shared" si="13"/>
        <v>12992.470000000001</v>
      </c>
      <c r="L291" s="38">
        <f t="shared" si="13"/>
        <v>1280860.49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65265.28-0.01</f>
        <v>65265.27</v>
      </c>
      <c r="G296" s="18">
        <v>44607.66</v>
      </c>
      <c r="H296" s="18">
        <v>4526.75</v>
      </c>
      <c r="I296" s="18">
        <v>2670.25</v>
      </c>
      <c r="J296" s="18">
        <v>2792.78</v>
      </c>
      <c r="K296" s="18">
        <v>0</v>
      </c>
      <c r="L296" s="13">
        <f>SUM(F296:K296)</f>
        <v>119862.70999999999</v>
      </c>
      <c r="M296" s="8"/>
      <c r="N296" s="164"/>
    </row>
    <row r="297" spans="1:14" s="3" customFormat="1" ht="12.2" customHeight="1" x14ac:dyDescent="0.15">
      <c r="A297" s="1" t="s">
        <v>439</v>
      </c>
      <c r="B297" s="2" t="s">
        <v>358</v>
      </c>
      <c r="C297" s="2" t="s">
        <v>291</v>
      </c>
      <c r="D297" s="2" t="s">
        <v>431</v>
      </c>
      <c r="E297" s="6">
        <v>1200</v>
      </c>
      <c r="F297" s="18">
        <v>0</v>
      </c>
      <c r="G297" s="18">
        <v>0</v>
      </c>
      <c r="H297" s="18">
        <v>102.51</v>
      </c>
      <c r="I297" s="18">
        <v>926.41</v>
      </c>
      <c r="J297" s="18">
        <v>484.63</v>
      </c>
      <c r="K297" s="18">
        <v>150.47999999999999</v>
      </c>
      <c r="L297" s="13">
        <f>SUM(F297:K297)</f>
        <v>1664.0300000000002</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12536.96</v>
      </c>
      <c r="G299" s="18">
        <v>2136.08</v>
      </c>
      <c r="H299" s="18">
        <v>3186.39</v>
      </c>
      <c r="I299" s="18">
        <v>2338.3200000000002</v>
      </c>
      <c r="J299" s="18">
        <v>0</v>
      </c>
      <c r="K299" s="18">
        <v>0</v>
      </c>
      <c r="L299" s="13">
        <f>SUM(F299:K299)</f>
        <v>20197.75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35931.440000000002</v>
      </c>
      <c r="G301" s="18">
        <v>14207.87</v>
      </c>
      <c r="H301" s="18">
        <v>4146.68</v>
      </c>
      <c r="I301" s="18">
        <v>11.87</v>
      </c>
      <c r="J301" s="18">
        <v>0</v>
      </c>
      <c r="K301" s="18">
        <v>0</v>
      </c>
      <c r="L301" s="13">
        <f t="shared" ref="L301:L307" si="14">SUM(F301:K301)</f>
        <v>54297.860000000008</v>
      </c>
      <c r="M301" s="8"/>
      <c r="N301" s="164"/>
    </row>
    <row r="302" spans="1:14" s="3" customFormat="1" ht="12.2" customHeight="1" x14ac:dyDescent="0.15">
      <c r="A302" s="1" t="s">
        <v>443</v>
      </c>
      <c r="B302" s="2" t="s">
        <v>358</v>
      </c>
      <c r="C302" s="2" t="s">
        <v>295</v>
      </c>
      <c r="D302" s="2" t="s">
        <v>431</v>
      </c>
      <c r="E302" s="6">
        <v>2200</v>
      </c>
      <c r="F302" s="18">
        <v>33862.47</v>
      </c>
      <c r="G302" s="18">
        <v>9720.11</v>
      </c>
      <c r="H302" s="18">
        <v>10595.45</v>
      </c>
      <c r="I302" s="18">
        <v>622.76</v>
      </c>
      <c r="J302" s="18">
        <v>0</v>
      </c>
      <c r="K302" s="18">
        <v>0</v>
      </c>
      <c r="L302" s="13">
        <f t="shared" si="14"/>
        <v>54800.79</v>
      </c>
      <c r="M302" s="8"/>
      <c r="N302" s="164"/>
    </row>
    <row r="303" spans="1:14" s="3" customFormat="1" ht="12.2" customHeight="1" x14ac:dyDescent="0.15">
      <c r="A303" s="1" t="s">
        <v>444</v>
      </c>
      <c r="B303" s="2" t="s">
        <v>358</v>
      </c>
      <c r="C303" s="2" t="s">
        <v>296</v>
      </c>
      <c r="D303" s="2" t="s">
        <v>431</v>
      </c>
      <c r="E303" s="6">
        <v>2300</v>
      </c>
      <c r="F303" s="18">
        <v>0</v>
      </c>
      <c r="G303" s="18">
        <v>0</v>
      </c>
      <c r="H303" s="18">
        <v>846.53</v>
      </c>
      <c r="I303" s="18">
        <v>2793.26</v>
      </c>
      <c r="J303" s="18">
        <v>0</v>
      </c>
      <c r="K303" s="18">
        <v>0</v>
      </c>
      <c r="L303" s="13">
        <f t="shared" si="14"/>
        <v>3639.79</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1140.58</v>
      </c>
      <c r="G305" s="18">
        <v>238.98</v>
      </c>
      <c r="H305" s="18">
        <v>2.15</v>
      </c>
      <c r="I305" s="18">
        <v>105.24</v>
      </c>
      <c r="J305" s="18">
        <v>0</v>
      </c>
      <c r="K305" s="18">
        <v>6118.9</v>
      </c>
      <c r="L305" s="13">
        <f t="shared" si="14"/>
        <v>7605.8499999999995</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10730.62</v>
      </c>
      <c r="I307" s="18">
        <v>0</v>
      </c>
      <c r="J307" s="18">
        <v>0</v>
      </c>
      <c r="K307" s="18">
        <v>0</v>
      </c>
      <c r="L307" s="13">
        <f t="shared" si="14"/>
        <v>10730.62</v>
      </c>
      <c r="M307" s="8"/>
      <c r="N307" s="164"/>
    </row>
    <row r="308" spans="1:14" s="3" customFormat="1" ht="12.2" customHeight="1" x14ac:dyDescent="0.15">
      <c r="A308" s="1" t="s">
        <v>449</v>
      </c>
      <c r="B308" s="2" t="s">
        <v>358</v>
      </c>
      <c r="C308" s="2" t="s">
        <v>343</v>
      </c>
      <c r="D308" s="2" t="s">
        <v>431</v>
      </c>
      <c r="E308" s="6">
        <v>2800</v>
      </c>
      <c r="F308" s="18">
        <v>0</v>
      </c>
      <c r="G308" s="18">
        <v>0</v>
      </c>
      <c r="H308" s="18">
        <v>741.84</v>
      </c>
      <c r="I308" s="18">
        <v>0</v>
      </c>
      <c r="J308" s="18">
        <v>0</v>
      </c>
      <c r="K308" s="18">
        <v>0</v>
      </c>
      <c r="L308" s="13">
        <f>SUM(F308:K308)</f>
        <v>741.84</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148736.72</v>
      </c>
      <c r="G310" s="39">
        <f t="shared" si="15"/>
        <v>70910.7</v>
      </c>
      <c r="H310" s="39">
        <f t="shared" si="15"/>
        <v>34878.92</v>
      </c>
      <c r="I310" s="39">
        <f t="shared" si="15"/>
        <v>9468.1099999999988</v>
      </c>
      <c r="J310" s="39">
        <f t="shared" si="15"/>
        <v>3277.4100000000003</v>
      </c>
      <c r="K310" s="39">
        <f t="shared" si="15"/>
        <v>6269.3799999999992</v>
      </c>
      <c r="L310" s="38">
        <f t="shared" si="15"/>
        <v>273541.24000000005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75905.12-0.01</f>
        <v>75905.11</v>
      </c>
      <c r="G315" s="18">
        <v>54585.68</v>
      </c>
      <c r="H315" s="18">
        <v>5539.31</v>
      </c>
      <c r="I315" s="18">
        <v>3267.55</v>
      </c>
      <c r="J315" s="18">
        <v>3417.49</v>
      </c>
      <c r="K315" s="18">
        <v>0</v>
      </c>
      <c r="L315" s="13">
        <f>SUM(F315:K315)</f>
        <v>142715.13999999998</v>
      </c>
      <c r="M315" s="8"/>
      <c r="N315" s="164"/>
    </row>
    <row r="316" spans="1:14" s="3" customFormat="1" ht="12.2" customHeight="1" x14ac:dyDescent="0.15">
      <c r="A316" s="1" t="s">
        <v>439</v>
      </c>
      <c r="B316" s="2" t="s">
        <v>359</v>
      </c>
      <c r="C316" s="2" t="s">
        <v>291</v>
      </c>
      <c r="D316" s="2" t="s">
        <v>431</v>
      </c>
      <c r="E316" s="6">
        <v>1200</v>
      </c>
      <c r="F316" s="18">
        <v>0</v>
      </c>
      <c r="G316" s="18">
        <v>0</v>
      </c>
      <c r="H316" s="18">
        <v>125.44</v>
      </c>
      <c r="I316" s="18">
        <v>1133.6300000000001</v>
      </c>
      <c r="J316" s="18">
        <v>593.04</v>
      </c>
      <c r="K316" s="18">
        <v>184.15</v>
      </c>
      <c r="L316" s="13">
        <f>SUM(F316:K316)</f>
        <v>2036.2600000000002</v>
      </c>
      <c r="M316" s="8"/>
      <c r="N316" s="164"/>
    </row>
    <row r="317" spans="1:14" s="3" customFormat="1" ht="12.2" customHeight="1" x14ac:dyDescent="0.15">
      <c r="A317" s="1" t="s">
        <v>440</v>
      </c>
      <c r="B317" s="2" t="s">
        <v>359</v>
      </c>
      <c r="C317" s="2" t="s">
        <v>292</v>
      </c>
      <c r="D317" s="2" t="s">
        <v>431</v>
      </c>
      <c r="E317" s="6">
        <v>1300</v>
      </c>
      <c r="F317" s="18">
        <v>4800</v>
      </c>
      <c r="G317" s="18">
        <v>1152.8</v>
      </c>
      <c r="H317" s="18">
        <v>4367.37</v>
      </c>
      <c r="I317" s="18">
        <v>37755.629999999997</v>
      </c>
      <c r="J317" s="18">
        <v>53460.7</v>
      </c>
      <c r="K317" s="18">
        <v>18344.34</v>
      </c>
      <c r="L317" s="13">
        <f>SUM(F317:K317)</f>
        <v>119880.84</v>
      </c>
      <c r="M317" s="8"/>
      <c r="N317" s="164"/>
    </row>
    <row r="318" spans="1:14" s="3" customFormat="1" ht="12.2" customHeight="1" x14ac:dyDescent="0.15">
      <c r="A318" s="1" t="s">
        <v>441</v>
      </c>
      <c r="B318" s="2" t="s">
        <v>359</v>
      </c>
      <c r="C318" s="2" t="s">
        <v>293</v>
      </c>
      <c r="D318" s="2" t="s">
        <v>431</v>
      </c>
      <c r="E318" s="6">
        <v>1400</v>
      </c>
      <c r="F318" s="18">
        <v>512.71</v>
      </c>
      <c r="G318" s="18">
        <v>2565.44</v>
      </c>
      <c r="H318" s="18">
        <v>3899.13</v>
      </c>
      <c r="I318" s="18">
        <v>2861.37</v>
      </c>
      <c r="J318" s="18">
        <v>0</v>
      </c>
      <c r="K318" s="18">
        <v>0</v>
      </c>
      <c r="L318" s="13">
        <f>SUM(F318:K318)</f>
        <v>9838.6500000000015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43968.74</v>
      </c>
      <c r="G320" s="18">
        <v>17385.939999999999</v>
      </c>
      <c r="H320" s="18">
        <v>5074.2299999999996</v>
      </c>
      <c r="I320" s="18">
        <v>14.53</v>
      </c>
      <c r="J320" s="18">
        <v>0</v>
      </c>
      <c r="K320" s="18">
        <v>0</v>
      </c>
      <c r="L320" s="13">
        <f t="shared" ref="L320:L326" si="16">SUM(F320:K320)</f>
        <v>66443.439999999988</v>
      </c>
      <c r="M320" s="8"/>
      <c r="N320" s="164"/>
    </row>
    <row r="321" spans="1:14" s="3" customFormat="1" ht="12.2" customHeight="1" x14ac:dyDescent="0.15">
      <c r="A321" s="1" t="s">
        <v>443</v>
      </c>
      <c r="B321" s="2" t="s">
        <v>359</v>
      </c>
      <c r="C321" s="2" t="s">
        <v>295</v>
      </c>
      <c r="D321" s="2" t="s">
        <v>431</v>
      </c>
      <c r="E321" s="6">
        <v>2200</v>
      </c>
      <c r="F321" s="18">
        <v>44436.97</v>
      </c>
      <c r="G321" s="18">
        <v>12320.24</v>
      </c>
      <c r="H321" s="18">
        <v>18214.11</v>
      </c>
      <c r="I321" s="18">
        <v>762.06</v>
      </c>
      <c r="J321" s="18">
        <v>0</v>
      </c>
      <c r="K321" s="18">
        <v>0</v>
      </c>
      <c r="L321" s="13">
        <f t="shared" si="16"/>
        <v>75733.38</v>
      </c>
      <c r="M321" s="8"/>
      <c r="N321" s="164"/>
    </row>
    <row r="322" spans="1:14" s="3" customFormat="1" ht="12.2" customHeight="1" x14ac:dyDescent="0.15">
      <c r="A322" s="1" t="s">
        <v>444</v>
      </c>
      <c r="B322" s="2" t="s">
        <v>359</v>
      </c>
      <c r="C322" s="2" t="s">
        <v>296</v>
      </c>
      <c r="D322" s="2" t="s">
        <v>431</v>
      </c>
      <c r="E322" s="6">
        <v>2300</v>
      </c>
      <c r="F322" s="18">
        <v>0</v>
      </c>
      <c r="G322" s="18">
        <v>0</v>
      </c>
      <c r="H322" s="18">
        <v>1035.8900000000001</v>
      </c>
      <c r="I322" s="18">
        <v>3418.07</v>
      </c>
      <c r="J322" s="18">
        <v>0</v>
      </c>
      <c r="K322" s="18">
        <v>0</v>
      </c>
      <c r="L322" s="13">
        <f t="shared" si="16"/>
        <v>4453.96</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1395.71</v>
      </c>
      <c r="G324" s="18">
        <v>292.43</v>
      </c>
      <c r="H324" s="18">
        <v>2461.17</v>
      </c>
      <c r="I324" s="18">
        <v>0</v>
      </c>
      <c r="J324" s="18">
        <v>0</v>
      </c>
      <c r="K324" s="18">
        <v>7487.6</v>
      </c>
      <c r="L324" s="13">
        <f t="shared" si="16"/>
        <v>11636.91</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13130.89</v>
      </c>
      <c r="I326" s="18">
        <v>0</v>
      </c>
      <c r="J326" s="18">
        <v>0</v>
      </c>
      <c r="K326" s="18">
        <v>0</v>
      </c>
      <c r="L326" s="13">
        <f t="shared" si="16"/>
        <v>13130.89</v>
      </c>
      <c r="M326" s="8"/>
      <c r="N326" s="164"/>
    </row>
    <row r="327" spans="1:14" s="3" customFormat="1" ht="12.2" customHeight="1" x14ac:dyDescent="0.15">
      <c r="A327" s="1" t="s">
        <v>449</v>
      </c>
      <c r="B327" s="2" t="s">
        <v>359</v>
      </c>
      <c r="C327" s="2" t="s">
        <v>343</v>
      </c>
      <c r="D327" s="2" t="s">
        <v>431</v>
      </c>
      <c r="E327" s="6">
        <v>2800</v>
      </c>
      <c r="F327" s="18">
        <v>0</v>
      </c>
      <c r="G327" s="18">
        <v>0</v>
      </c>
      <c r="H327" s="18">
        <v>907.78</v>
      </c>
      <c r="I327" s="18">
        <v>0</v>
      </c>
      <c r="J327" s="18">
        <v>0</v>
      </c>
      <c r="K327" s="18">
        <v>0</v>
      </c>
      <c r="L327" s="13">
        <f>SUM(F327:K327)</f>
        <v>907.78</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171019.24</v>
      </c>
      <c r="G329" s="39">
        <f t="shared" si="17"/>
        <v>88302.53</v>
      </c>
      <c r="H329" s="39">
        <f t="shared" si="17"/>
        <v>54755.319999999992</v>
      </c>
      <c r="I329" s="39">
        <f t="shared" si="17"/>
        <v>49212.84</v>
      </c>
      <c r="J329" s="39">
        <f t="shared" si="17"/>
        <v>57471.229999999996</v>
      </c>
      <c r="K329" s="39">
        <f t="shared" si="17"/>
        <v>26016.090000000004</v>
      </c>
      <c r="L329" s="38">
        <f t="shared" si="17"/>
        <v>446777.25000000006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2240344.2999999998</v>
      </c>
      <c r="I337" s="18">
        <v>0</v>
      </c>
      <c r="J337" s="18">
        <v>0</v>
      </c>
      <c r="K337" s="18">
        <v>0</v>
      </c>
      <c r="L337" s="13">
        <f t="shared" si="18"/>
        <v>2240344.2999999998</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2240344.2999999998</v>
      </c>
      <c r="I338" s="38">
        <f t="shared" si="19"/>
        <v>0</v>
      </c>
      <c r="J338" s="38">
        <f t="shared" si="19"/>
        <v>0</v>
      </c>
      <c r="K338" s="38">
        <f t="shared" si="19"/>
        <v>0</v>
      </c>
      <c r="L338" s="38">
        <f t="shared" si="18"/>
        <v>2240344.2999999998</v>
      </c>
      <c r="M338" s="8"/>
      <c r="N338" s="164"/>
    </row>
    <row r="339" spans="1:43" s="3" customFormat="1" ht="12.2" customHeight="1" thickTop="1" x14ac:dyDescent="0.15">
      <c r="A339" s="35" t="s">
        <v>468</v>
      </c>
      <c r="B339" s="37">
        <v>14</v>
      </c>
      <c r="C339" s="37">
        <v>7</v>
      </c>
      <c r="D339" s="36" t="s">
        <v>431</v>
      </c>
      <c r="E339" s="37"/>
      <c r="F339" s="38">
        <f t="shared" ref="F339:L339" si="20">F291+F310+F329+F338</f>
        <v>862516.64999999991</v>
      </c>
      <c r="G339" s="38">
        <f t="shared" si="20"/>
        <v>354419.19000000006</v>
      </c>
      <c r="H339" s="38">
        <f t="shared" si="20"/>
        <v>2829022.5799999996</v>
      </c>
      <c r="I339" s="38">
        <f t="shared" si="20"/>
        <v>82746.26999999999</v>
      </c>
      <c r="J339" s="38">
        <f t="shared" si="20"/>
        <v>67540.649999999994</v>
      </c>
      <c r="K339" s="38">
        <f t="shared" si="20"/>
        <v>45277.94</v>
      </c>
      <c r="L339" s="38">
        <f t="shared" si="20"/>
        <v>4241523.2799999993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862516.64999999991</v>
      </c>
      <c r="G353" s="38">
        <f>G339</f>
        <v>354419.19000000006</v>
      </c>
      <c r="H353" s="38">
        <f>H339</f>
        <v>2829022.5799999996</v>
      </c>
      <c r="I353" s="38">
        <f>I339</f>
        <v>82746.26999999999</v>
      </c>
      <c r="J353" s="38">
        <f>J339</f>
        <v>67540.649999999994</v>
      </c>
      <c r="K353" s="38">
        <f>K339+K352</f>
        <v>45277.94</v>
      </c>
      <c r="L353" s="38">
        <f>L339+L352</f>
        <v>4241523.2799999993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446247.7022205207</v>
      </c>
      <c r="I359" s="18">
        <v>48205.66</v>
      </c>
      <c r="J359" s="18">
        <v>84846.566921898935</v>
      </c>
      <c r="K359" s="18"/>
      <c r="L359" s="13">
        <f>SUM(F359:K359)</f>
        <v>579299.92914241971</v>
      </c>
      <c r="M359" s="8"/>
      <c r="N359" s="164"/>
    </row>
    <row r="360" spans="1:22" s="3" customFormat="1" ht="12.2" customHeight="1" x14ac:dyDescent="0.15">
      <c r="A360" s="1" t="s">
        <v>542</v>
      </c>
      <c r="B360" s="2" t="s">
        <v>366</v>
      </c>
      <c r="C360" s="6">
        <v>2</v>
      </c>
      <c r="D360" s="2" t="s">
        <v>431</v>
      </c>
      <c r="E360" s="6"/>
      <c r="F360" s="18">
        <v>0</v>
      </c>
      <c r="G360" s="18">
        <v>0</v>
      </c>
      <c r="H360" s="18">
        <v>215332.22456355282</v>
      </c>
      <c r="I360" s="18">
        <v>0</v>
      </c>
      <c r="J360" s="18">
        <v>40941.835467075034</v>
      </c>
      <c r="K360" s="18"/>
      <c r="L360" s="13">
        <f>SUM(F360:K360)</f>
        <v>256274.06003062785</v>
      </c>
      <c r="M360" s="8"/>
      <c r="N360" s="164"/>
    </row>
    <row r="361" spans="1:22" s="3" customFormat="1" ht="12.2" customHeight="1" x14ac:dyDescent="0.15">
      <c r="A361" s="3" t="s">
        <v>543</v>
      </c>
      <c r="B361" s="2" t="s">
        <v>366</v>
      </c>
      <c r="C361" s="6">
        <v>3</v>
      </c>
      <c r="D361" s="2" t="s">
        <v>431</v>
      </c>
      <c r="E361" s="6"/>
      <c r="F361" s="18">
        <v>0</v>
      </c>
      <c r="G361" s="18">
        <v>0</v>
      </c>
      <c r="H361" s="18">
        <v>263498.64321592648</v>
      </c>
      <c r="I361" s="18">
        <v>0</v>
      </c>
      <c r="J361" s="18">
        <v>50099.87761102603</v>
      </c>
      <c r="K361" s="18"/>
      <c r="L361" s="13">
        <f>SUM(F361:K361)</f>
        <v>313598.52082695253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925078.57</v>
      </c>
      <c r="I363" s="38">
        <f t="shared" si="22"/>
        <v>48205.66</v>
      </c>
      <c r="J363" s="38">
        <f t="shared" si="22"/>
        <v>175888.28</v>
      </c>
      <c r="K363" s="38">
        <f t="shared" si="22"/>
        <v>0</v>
      </c>
      <c r="L363" s="38">
        <f t="shared" si="22"/>
        <v>1149172.5100000002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12726.07+14257.4+20961.07</f>
        <v>47944.54</v>
      </c>
      <c r="G368" s="18">
        <v>0</v>
      </c>
      <c r="H368" s="18">
        <v>0</v>
      </c>
      <c r="I368" s="13">
        <f>SUM(F368:H368)</f>
        <v>47944.54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261.12</v>
      </c>
      <c r="G369" s="53">
        <v>0</v>
      </c>
      <c r="H369" s="53">
        <v>0</v>
      </c>
      <c r="I369" s="13">
        <f>SUM(F369:H369)</f>
        <v>261.12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48205.66</v>
      </c>
      <c r="G370" s="38">
        <f>SUM(G368:G369)</f>
        <v>0</v>
      </c>
      <c r="H370" s="38">
        <f>SUM(H368:H369)</f>
        <v>0</v>
      </c>
      <c r="I370" s="38">
        <f>SUM(I368:I369)</f>
        <v>48205.66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106873.93</v>
      </c>
      <c r="J401" s="23" t="s">
        <v>288</v>
      </c>
      <c r="K401" s="23" t="s">
        <v>288</v>
      </c>
      <c r="L401" s="13">
        <f t="shared" si="26"/>
        <v>106873.93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106873.93</v>
      </c>
      <c r="J402" s="42" t="s">
        <v>288</v>
      </c>
      <c r="K402" s="42" t="s">
        <v>288</v>
      </c>
      <c r="L402" s="38">
        <f>SUM(L396:L401)</f>
        <v>106873.93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106873.93</v>
      </c>
      <c r="J409" s="23" t="s">
        <v>288</v>
      </c>
      <c r="K409" s="23" t="s">
        <v>288</v>
      </c>
      <c r="L409" s="38">
        <f>L394+L402+L408</f>
        <v>106873.93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f>29906.93-8872.93</f>
        <v>21034</v>
      </c>
      <c r="I427" s="18">
        <f>29224.13+22194.82+905.41+1917.26+19332.5+8872.93</f>
        <v>82447.049999999988</v>
      </c>
      <c r="J427" s="18">
        <f>590.8+27.35+161.39</f>
        <v>779.54</v>
      </c>
      <c r="K427" s="18">
        <v>0</v>
      </c>
      <c r="L427" s="13">
        <f t="shared" si="29"/>
        <v>104260.58999999998</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21034</v>
      </c>
      <c r="I428" s="38">
        <f t="shared" si="30"/>
        <v>82447.049999999988</v>
      </c>
      <c r="J428" s="38">
        <f t="shared" si="30"/>
        <v>779.54</v>
      </c>
      <c r="K428" s="38">
        <f t="shared" si="30"/>
        <v>0</v>
      </c>
      <c r="L428" s="38">
        <f t="shared" si="30"/>
        <v>104260.58999999998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21034</v>
      </c>
      <c r="I435" s="38">
        <f t="shared" si="32"/>
        <v>82447.049999999988</v>
      </c>
      <c r="J435" s="38">
        <f t="shared" si="32"/>
        <v>779.54</v>
      </c>
      <c r="K435" s="38">
        <f t="shared" si="32"/>
        <v>0</v>
      </c>
      <c r="L435" s="38">
        <f t="shared" si="32"/>
        <v>104260.58999999998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35885.620000000003</v>
      </c>
      <c r="H442" s="18">
        <v>0</v>
      </c>
      <c r="I442" s="13">
        <f t="shared" si="33"/>
        <v>35885.620000000003</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4545</v>
      </c>
      <c r="H444" s="18">
        <v>0</v>
      </c>
      <c r="I444" s="13">
        <f t="shared" si="33"/>
        <v>4545</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40430.620000000003</v>
      </c>
      <c r="H447" s="13">
        <f>SUM(H440:H446)</f>
        <v>0</v>
      </c>
      <c r="I447" s="13">
        <f>SUM(I440:I446)</f>
        <v>40430.620000000003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1217.52</v>
      </c>
      <c r="H451" s="18">
        <v>0</v>
      </c>
      <c r="I451" s="13">
        <f>SUM(F451:H451)</f>
        <v>1217.52</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1217.52</v>
      </c>
      <c r="H453" s="57">
        <f>SUM(H449:H452)</f>
        <v>0</v>
      </c>
      <c r="I453" s="57">
        <f>SUM(I449:I452)</f>
        <v>1217.52</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39213.1</v>
      </c>
      <c r="H460" s="18">
        <v>0</v>
      </c>
      <c r="I460" s="13">
        <f t="shared" si="34"/>
        <v>39213.1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39213.1</v>
      </c>
      <c r="H461" s="65">
        <f>SUM(H455:H460)</f>
        <v>0</v>
      </c>
      <c r="I461" s="65">
        <f>SUM(I455:I460)</f>
        <v>39213.1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40430.619999999995</v>
      </c>
      <c r="H462" s="39">
        <f>H453+H461</f>
        <v>0</v>
      </c>
      <c r="I462" s="39">
        <f>I453+I461</f>
        <v>40430.619999999995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100000</v>
      </c>
      <c r="G466" s="18">
        <v>436630.48</v>
      </c>
      <c r="H466" s="18">
        <v>31229.54</v>
      </c>
      <c r="I466" s="18">
        <v>0</v>
      </c>
      <c r="J466" s="18">
        <v>36649.760000000002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30537846.309999999</v>
      </c>
      <c r="G469" s="18">
        <v>800297.72</v>
      </c>
      <c r="H469" s="18">
        <v>4244540.57</v>
      </c>
      <c r="I469" s="18">
        <v>0</v>
      </c>
      <c r="J469" s="18">
        <v>106873.93</v>
      </c>
      <c r="K469" s="23" t="s">
        <v>288</v>
      </c>
      <c r="L469" s="23" t="s">
        <v>288</v>
      </c>
      <c r="N469" s="130"/>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0"/>
    </row>
    <row r="471" spans="1:14" ht="12.2" customHeight="1" x14ac:dyDescent="0.2">
      <c r="A471" s="32" t="s">
        <v>425</v>
      </c>
      <c r="B471" s="22">
        <v>19</v>
      </c>
      <c r="C471" s="31">
        <v>4</v>
      </c>
      <c r="D471" s="2" t="s">
        <v>432</v>
      </c>
      <c r="E471" s="31"/>
      <c r="F471" s="19">
        <f>SUM(F469:F470)</f>
        <v>30537846.309999999</v>
      </c>
      <c r="G471" s="19">
        <f>SUM(G469:G470)</f>
        <v>800297.72</v>
      </c>
      <c r="H471" s="19">
        <f>SUM(H469:H470)</f>
        <v>4244540.57</v>
      </c>
      <c r="I471" s="19">
        <f>SUM(I469:I470)</f>
        <v>0</v>
      </c>
      <c r="J471" s="19">
        <f>SUM(J469:J470)</f>
        <v>106873.93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30637846.309999999</v>
      </c>
      <c r="G473" s="18">
        <v>1149172.51</v>
      </c>
      <c r="H473" s="18">
        <v>4241523.28</v>
      </c>
      <c r="I473" s="18">
        <v>0</v>
      </c>
      <c r="J473" s="18">
        <v>104260.59</v>
      </c>
      <c r="K473" s="23" t="s">
        <v>288</v>
      </c>
      <c r="L473" s="23" t="s">
        <v>288</v>
      </c>
      <c r="N473" s="130"/>
    </row>
    <row r="474" spans="1:14" ht="12.2" customHeight="1" x14ac:dyDescent="0.2">
      <c r="A474" s="71" t="s">
        <v>613</v>
      </c>
      <c r="B474" s="22">
        <v>19</v>
      </c>
      <c r="C474" s="31">
        <v>6</v>
      </c>
      <c r="D474" s="2" t="s">
        <v>432</v>
      </c>
      <c r="E474" s="31"/>
      <c r="F474" s="18">
        <v>0</v>
      </c>
      <c r="G474" s="18">
        <v>1053.1099999999999</v>
      </c>
      <c r="H474" s="18">
        <v>0</v>
      </c>
      <c r="I474" s="18">
        <v>0</v>
      </c>
      <c r="J474" s="18">
        <v>50</v>
      </c>
      <c r="K474" s="23" t="s">
        <v>288</v>
      </c>
      <c r="L474" s="23" t="s">
        <v>288</v>
      </c>
      <c r="N474" s="130"/>
    </row>
    <row r="475" spans="1:14" ht="12.2" customHeight="1" x14ac:dyDescent="0.2">
      <c r="A475" s="32" t="s">
        <v>426</v>
      </c>
      <c r="B475" s="22">
        <v>19</v>
      </c>
      <c r="C475" s="31">
        <v>7</v>
      </c>
      <c r="D475" s="2" t="s">
        <v>432</v>
      </c>
      <c r="E475" s="31"/>
      <c r="F475" s="19">
        <f>SUM(F473:F474)</f>
        <v>30637846.309999999</v>
      </c>
      <c r="G475" s="19">
        <f>SUM(G473:G474)</f>
        <v>1150225.6200000001</v>
      </c>
      <c r="H475" s="19">
        <f>SUM(H473:H474)</f>
        <v>4241523.28</v>
      </c>
      <c r="I475" s="19">
        <f>SUM(I473:I474)</f>
        <v>0</v>
      </c>
      <c r="J475" s="19">
        <f>SUM(J473:J474)</f>
        <v>104310.59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86702.579999999842</v>
      </c>
      <c r="H477" s="19">
        <f>(H466+H471)- H475</f>
        <v>34246.830000000075</v>
      </c>
      <c r="I477" s="19">
        <f>(I466+I471)- I475</f>
        <v>0</v>
      </c>
      <c r="J477" s="19">
        <f>(J466+J471)- J475</f>
        <v>39213.100000000006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1845</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v>15</v>
      </c>
      <c r="I491" s="111"/>
      <c r="J491" s="111">
        <v>15</v>
      </c>
      <c r="K491" s="23" t="s">
        <v>288</v>
      </c>
      <c r="L491" s="23" t="s">
        <v>288</v>
      </c>
      <c r="N491" s="130"/>
    </row>
    <row r="492" spans="1:14" ht="12.2" customHeight="1" x14ac:dyDescent="0.2">
      <c r="A492" s="21" t="s">
        <v>615</v>
      </c>
      <c r="B492" s="22">
        <v>20</v>
      </c>
      <c r="C492" s="22">
        <v>2</v>
      </c>
      <c r="D492" s="2" t="s">
        <v>432</v>
      </c>
      <c r="E492" s="22"/>
      <c r="F492" s="112" t="s">
        <v>1841</v>
      </c>
      <c r="G492" s="112" t="s">
        <v>1842</v>
      </c>
      <c r="H492" s="111">
        <v>216</v>
      </c>
      <c r="I492" s="111"/>
      <c r="J492" s="111">
        <v>221</v>
      </c>
      <c r="K492" s="23" t="s">
        <v>288</v>
      </c>
      <c r="L492" s="23" t="s">
        <v>288</v>
      </c>
      <c r="N492" s="130"/>
    </row>
    <row r="493" spans="1:14" ht="12.2" customHeight="1" x14ac:dyDescent="0.2">
      <c r="A493" s="21" t="s">
        <v>616</v>
      </c>
      <c r="B493" s="22">
        <v>20</v>
      </c>
      <c r="C493" s="22">
        <v>3</v>
      </c>
      <c r="D493" s="2" t="s">
        <v>432</v>
      </c>
      <c r="E493" s="22"/>
      <c r="F493" s="112" t="s">
        <v>1843</v>
      </c>
      <c r="G493" s="112" t="s">
        <v>1844</v>
      </c>
      <c r="H493" s="111">
        <v>831</v>
      </c>
      <c r="I493" s="111"/>
      <c r="J493" s="111">
        <v>236</v>
      </c>
      <c r="K493" s="23" t="s">
        <v>288</v>
      </c>
      <c r="L493" s="23" t="s">
        <v>288</v>
      </c>
      <c r="N493" s="130"/>
    </row>
    <row r="494" spans="1:14" ht="12.2" customHeight="1" x14ac:dyDescent="0.2">
      <c r="A494" s="21" t="s">
        <v>617</v>
      </c>
      <c r="B494" s="22">
        <v>20</v>
      </c>
      <c r="C494" s="22">
        <v>4</v>
      </c>
      <c r="D494" s="2" t="s">
        <v>432</v>
      </c>
      <c r="E494" s="22"/>
      <c r="F494" s="18">
        <v>18953000</v>
      </c>
      <c r="G494" s="18">
        <v>1181700</v>
      </c>
      <c r="H494" s="18">
        <v>1453925</v>
      </c>
      <c r="I494" s="18">
        <v>1640000</v>
      </c>
      <c r="J494" s="18">
        <v>550500</v>
      </c>
      <c r="K494" s="23" t="s">
        <v>288</v>
      </c>
      <c r="L494" s="23" t="s">
        <v>288</v>
      </c>
      <c r="N494" s="130"/>
    </row>
    <row r="495" spans="1:14" ht="12.2" customHeight="1" x14ac:dyDescent="0.2">
      <c r="A495" s="21" t="s">
        <v>618</v>
      </c>
      <c r="B495" s="22">
        <v>20</v>
      </c>
      <c r="C495" s="22">
        <v>5</v>
      </c>
      <c r="D495" s="2" t="s">
        <v>432</v>
      </c>
      <c r="E495" s="22"/>
      <c r="F495" s="18">
        <v>3.73</v>
      </c>
      <c r="G495" s="18">
        <v>3.14</v>
      </c>
      <c r="H495" s="18">
        <v>2.16</v>
      </c>
      <c r="I495" s="18"/>
      <c r="J495" s="18">
        <v>1.31</v>
      </c>
      <c r="K495" s="23" t="s">
        <v>288</v>
      </c>
      <c r="L495" s="23" t="s">
        <v>288</v>
      </c>
      <c r="N495" s="130"/>
    </row>
    <row r="496" spans="1:14" ht="12.2" customHeight="1" x14ac:dyDescent="0.2">
      <c r="A496" s="21" t="s">
        <v>619</v>
      </c>
      <c r="B496" s="22">
        <v>20</v>
      </c>
      <c r="C496" s="22">
        <v>6</v>
      </c>
      <c r="D496" s="2" t="s">
        <v>432</v>
      </c>
      <c r="E496" s="22"/>
      <c r="F496" s="18">
        <v>4837898.1399999997</v>
      </c>
      <c r="G496" s="18">
        <v>479450</v>
      </c>
      <c r="H496" s="18">
        <v>855000</v>
      </c>
      <c r="I496" s="18">
        <v>1085000</v>
      </c>
      <c r="J496" s="18">
        <v>435000</v>
      </c>
      <c r="K496" s="19">
        <f>SUM(F496:J496)</f>
        <v>7692348.1399999997</v>
      </c>
      <c r="L496" s="23" t="s">
        <v>288</v>
      </c>
      <c r="N496" s="130"/>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0"/>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0"/>
    </row>
    <row r="499" spans="1:14" ht="12.2" customHeight="1" x14ac:dyDescent="0.2">
      <c r="A499" s="143" t="s">
        <v>622</v>
      </c>
      <c r="B499" s="144">
        <v>20</v>
      </c>
      <c r="C499" s="144">
        <v>9</v>
      </c>
      <c r="D499" s="145" t="s">
        <v>432</v>
      </c>
      <c r="E499" s="144"/>
      <c r="F499" s="146">
        <v>4041503.41</v>
      </c>
      <c r="G499" s="146">
        <v>397600</v>
      </c>
      <c r="H499" s="146">
        <v>760000</v>
      </c>
      <c r="I499" s="146">
        <v>985000</v>
      </c>
      <c r="J499" s="146">
        <v>395000</v>
      </c>
      <c r="K499" s="147">
        <f t="shared" si="35"/>
        <v>6579103.4100000001</v>
      </c>
      <c r="L499" s="148" t="s">
        <v>288</v>
      </c>
      <c r="N499" s="130"/>
    </row>
    <row r="500" spans="1:14" ht="12.2" customHeight="1" thickBot="1" x14ac:dyDescent="0.25">
      <c r="A500" s="21" t="s">
        <v>623</v>
      </c>
      <c r="B500" s="22">
        <v>20</v>
      </c>
      <c r="C500" s="22">
        <v>10</v>
      </c>
      <c r="D500" s="2" t="s">
        <v>432</v>
      </c>
      <c r="E500" s="22"/>
      <c r="F500" s="18">
        <v>4381194.59</v>
      </c>
      <c r="G500" s="18">
        <v>46837.06</v>
      </c>
      <c r="H500" s="18">
        <v>101011.18</v>
      </c>
      <c r="I500" s="18">
        <v>207758.84</v>
      </c>
      <c r="J500" s="18">
        <v>79025</v>
      </c>
      <c r="K500" s="19">
        <f t="shared" si="35"/>
        <v>4815826.669999999</v>
      </c>
      <c r="L500" s="23" t="s">
        <v>288</v>
      </c>
      <c r="N500" s="130"/>
    </row>
    <row r="501" spans="1:14" ht="12.2" customHeight="1" thickTop="1" x14ac:dyDescent="0.2">
      <c r="A501" s="97" t="s">
        <v>624</v>
      </c>
      <c r="B501" s="41">
        <v>20</v>
      </c>
      <c r="C501" s="41">
        <v>11</v>
      </c>
      <c r="D501" s="36" t="s">
        <v>432</v>
      </c>
      <c r="E501" s="41"/>
      <c r="F501" s="39">
        <f>SUM(F499:F500)</f>
        <v>8422698</v>
      </c>
      <c r="G501" s="39">
        <f>SUM(G499:G500)</f>
        <v>444437.06</v>
      </c>
      <c r="H501" s="39">
        <f>SUM(H499:H500)</f>
        <v>861011.17999999993</v>
      </c>
      <c r="I501" s="39">
        <f>SUM(I499:I500)</f>
        <v>1192758.8400000001</v>
      </c>
      <c r="J501" s="39">
        <f>SUM(J499:J500)</f>
        <v>474025</v>
      </c>
      <c r="K501" s="39">
        <f t="shared" si="35"/>
        <v>11394930.08</v>
      </c>
      <c r="L501" s="42" t="s">
        <v>288</v>
      </c>
      <c r="N501" s="130"/>
    </row>
    <row r="502" spans="1:14" ht="12.2" customHeight="1" x14ac:dyDescent="0.2">
      <c r="A502" s="143" t="s">
        <v>651</v>
      </c>
      <c r="B502" s="144">
        <v>20</v>
      </c>
      <c r="C502" s="144">
        <v>12</v>
      </c>
      <c r="D502" s="145" t="s">
        <v>432</v>
      </c>
      <c r="E502" s="144"/>
      <c r="F502" s="146">
        <v>764626.95</v>
      </c>
      <c r="G502" s="146">
        <v>81850</v>
      </c>
      <c r="H502" s="146">
        <v>95000</v>
      </c>
      <c r="I502" s="146">
        <v>100000</v>
      </c>
      <c r="J502" s="146">
        <v>40000</v>
      </c>
      <c r="K502" s="147">
        <f t="shared" si="35"/>
        <v>1081476.95</v>
      </c>
      <c r="L502" s="148" t="s">
        <v>288</v>
      </c>
      <c r="N502" s="130"/>
    </row>
    <row r="503" spans="1:14" ht="12.2" customHeight="1" thickBot="1" x14ac:dyDescent="0.25">
      <c r="A503" s="21" t="s">
        <v>625</v>
      </c>
      <c r="B503" s="22">
        <v>20</v>
      </c>
      <c r="C503" s="22">
        <v>13</v>
      </c>
      <c r="D503" s="2" t="s">
        <v>432</v>
      </c>
      <c r="E503" s="22"/>
      <c r="F503" s="18">
        <v>635371.05000000005</v>
      </c>
      <c r="G503" s="18">
        <v>15429.68</v>
      </c>
      <c r="H503" s="18">
        <v>24961.26</v>
      </c>
      <c r="I503" s="18">
        <v>41891.26</v>
      </c>
      <c r="J503" s="18">
        <v>15595</v>
      </c>
      <c r="K503" s="19">
        <f t="shared" si="35"/>
        <v>733248.25000000012</v>
      </c>
      <c r="L503" s="23" t="s">
        <v>288</v>
      </c>
      <c r="N503" s="130"/>
    </row>
    <row r="504" spans="1:14" ht="12.2" customHeight="1" thickTop="1" x14ac:dyDescent="0.2">
      <c r="A504" s="97" t="s">
        <v>626</v>
      </c>
      <c r="B504" s="41">
        <v>20</v>
      </c>
      <c r="C504" s="41">
        <v>14</v>
      </c>
      <c r="D504" s="36" t="s">
        <v>432</v>
      </c>
      <c r="E504" s="41"/>
      <c r="F504" s="39">
        <f>SUM(F502:F503)</f>
        <v>1399998</v>
      </c>
      <c r="G504" s="39">
        <f>SUM(G502:G503)</f>
        <v>97279.679999999993</v>
      </c>
      <c r="H504" s="39">
        <f>SUM(H502:H503)</f>
        <v>119961.26</v>
      </c>
      <c r="I504" s="39">
        <f>SUM(I502:I503)</f>
        <v>141891.26</v>
      </c>
      <c r="J504" s="39">
        <f>SUM(J502:J503)</f>
        <v>55595</v>
      </c>
      <c r="K504" s="39">
        <f t="shared" si="35"/>
        <v>1814725.2</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1212044.04+14028.72+66622.72</f>
        <v>1292695.48</v>
      </c>
      <c r="G522" s="18">
        <f>689280.53+1750+5115.29+7228.66</f>
        <v>703374.4800000001</v>
      </c>
      <c r="H522" s="18">
        <f>1141031.46+12375.39+2733.72+9814.97</f>
        <v>1165955.5399999998</v>
      </c>
      <c r="I522" s="18">
        <f>8106.91+1410.84+275.93</f>
        <v>9793.68</v>
      </c>
      <c r="J522" s="18">
        <v>0</v>
      </c>
      <c r="K522" s="18">
        <v>0</v>
      </c>
      <c r="L522" s="69">
        <f>SUM(F522:K522)</f>
        <v>3171819.18</v>
      </c>
      <c r="N522" s="130"/>
    </row>
    <row r="523" spans="1:14" ht="12.2" customHeight="1" x14ac:dyDescent="0.2">
      <c r="A523" s="21" t="s">
        <v>634</v>
      </c>
      <c r="B523" s="22">
        <v>21</v>
      </c>
      <c r="C523" s="22">
        <v>2</v>
      </c>
      <c r="D523" s="2" t="s">
        <v>432</v>
      </c>
      <c r="E523" s="22"/>
      <c r="F523" s="18">
        <v>578112.86</v>
      </c>
      <c r="G523" s="18">
        <v>415934.63</v>
      </c>
      <c r="H523" s="18">
        <v>435922.63</v>
      </c>
      <c r="I523" s="18">
        <v>5232.96</v>
      </c>
      <c r="J523" s="18">
        <v>0</v>
      </c>
      <c r="K523" s="18">
        <v>0</v>
      </c>
      <c r="L523" s="69">
        <f>SUM(F523:K523)</f>
        <v>1435203.08</v>
      </c>
      <c r="N523" s="130"/>
    </row>
    <row r="524" spans="1:14" ht="12.2" customHeight="1" thickBot="1" x14ac:dyDescent="0.25">
      <c r="A524" s="21" t="s">
        <v>635</v>
      </c>
      <c r="B524" s="22">
        <v>21</v>
      </c>
      <c r="C524" s="22">
        <v>3</v>
      </c>
      <c r="D524" s="2" t="s">
        <v>432</v>
      </c>
      <c r="E524" s="22"/>
      <c r="F524" s="18">
        <v>728542.86</v>
      </c>
      <c r="G524" s="18">
        <v>412212.99</v>
      </c>
      <c r="H524" s="18">
        <v>1398127.84</v>
      </c>
      <c r="I524" s="18">
        <v>4980.21</v>
      </c>
      <c r="J524" s="18">
        <v>0</v>
      </c>
      <c r="K524" s="18">
        <v>0</v>
      </c>
      <c r="L524" s="69">
        <f>SUM(F524:K524)</f>
        <v>2543863.9000000004</v>
      </c>
      <c r="N524" s="130"/>
    </row>
    <row r="525" spans="1:14" ht="12.2" customHeight="1" thickTop="1" x14ac:dyDescent="0.2">
      <c r="A525" s="97" t="s">
        <v>63</v>
      </c>
      <c r="B525" s="41">
        <v>21</v>
      </c>
      <c r="C525" s="41">
        <v>4</v>
      </c>
      <c r="D525" s="115" t="s">
        <v>432</v>
      </c>
      <c r="E525" s="41"/>
      <c r="F525" s="81">
        <f>SUM(F522:F524)</f>
        <v>2599351.1999999997</v>
      </c>
      <c r="G525" s="81">
        <f t="shared" ref="G525:L525" si="36">SUM(G522:G524)</f>
        <v>1531522.1</v>
      </c>
      <c r="H525" s="81">
        <f t="shared" si="36"/>
        <v>3000006.01</v>
      </c>
      <c r="I525" s="81">
        <f t="shared" si="36"/>
        <v>20006.849999999999</v>
      </c>
      <c r="J525" s="81">
        <f t="shared" si="36"/>
        <v>0</v>
      </c>
      <c r="K525" s="81">
        <f t="shared" si="36"/>
        <v>0</v>
      </c>
      <c r="L525" s="70">
        <f t="shared" si="36"/>
        <v>7150886.1600000001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98965</v>
      </c>
      <c r="G527" s="18">
        <v>40346</v>
      </c>
      <c r="H527" s="18">
        <f>172418.04+242947</f>
        <v>415365.04000000004</v>
      </c>
      <c r="I527" s="18">
        <v>762</v>
      </c>
      <c r="J527" s="18">
        <v>0</v>
      </c>
      <c r="K527" s="18">
        <f>4401.22</f>
        <v>4401.22</v>
      </c>
      <c r="L527" s="69">
        <f>SUM(F527:K527)</f>
        <v>559839.26</v>
      </c>
      <c r="M527" s="8"/>
      <c r="N527" s="164"/>
    </row>
    <row r="528" spans="1:14" s="3" customFormat="1" ht="12.2" customHeight="1" x14ac:dyDescent="0.15">
      <c r="A528" s="21" t="s">
        <v>634</v>
      </c>
      <c r="B528" s="22">
        <v>21</v>
      </c>
      <c r="C528" s="22">
        <v>6</v>
      </c>
      <c r="D528" s="2" t="s">
        <v>432</v>
      </c>
      <c r="E528" s="22"/>
      <c r="F528" s="18">
        <v>0</v>
      </c>
      <c r="G528" s="18">
        <v>0</v>
      </c>
      <c r="H528" s="18">
        <f>98524.59+64713.97</f>
        <v>163238.56</v>
      </c>
      <c r="I528" s="18">
        <v>0</v>
      </c>
      <c r="J528" s="18">
        <v>0</v>
      </c>
      <c r="K528" s="18">
        <v>2123.7600000000002</v>
      </c>
      <c r="L528" s="69">
        <f>SUM(F528:K528)</f>
        <v>165362.32</v>
      </c>
      <c r="M528" s="8"/>
      <c r="N528" s="164"/>
    </row>
    <row r="529" spans="1:14" s="3" customFormat="1" ht="12.2" customHeight="1" thickBot="1" x14ac:dyDescent="0.2">
      <c r="A529" s="21" t="s">
        <v>635</v>
      </c>
      <c r="B529" s="22">
        <v>21</v>
      </c>
      <c r="C529" s="22">
        <v>7</v>
      </c>
      <c r="D529" s="2" t="s">
        <v>432</v>
      </c>
      <c r="E529" s="22"/>
      <c r="F529" s="18">
        <v>0</v>
      </c>
      <c r="G529" s="18">
        <v>0</v>
      </c>
      <c r="H529" s="18">
        <f>80930.92+79189.46</f>
        <v>160120.38</v>
      </c>
      <c r="I529" s="18">
        <v>0</v>
      </c>
      <c r="J529" s="18">
        <v>0</v>
      </c>
      <c r="K529" s="18">
        <v>2598.8200000000002</v>
      </c>
      <c r="L529" s="69">
        <f>SUM(F529:K529)</f>
        <v>162719.20000000001</v>
      </c>
      <c r="M529" s="8"/>
      <c r="N529" s="164"/>
    </row>
    <row r="530" spans="1:14" s="3" customFormat="1" ht="12.2" customHeight="1" thickTop="1" x14ac:dyDescent="0.15">
      <c r="A530" s="97" t="s">
        <v>65</v>
      </c>
      <c r="B530" s="41">
        <v>21</v>
      </c>
      <c r="C530" s="41">
        <v>8</v>
      </c>
      <c r="D530" s="115" t="s">
        <v>432</v>
      </c>
      <c r="E530" s="41"/>
      <c r="F530" s="70">
        <f>SUM(F527:F529)</f>
        <v>98965</v>
      </c>
      <c r="G530" s="70">
        <f t="shared" ref="G530:L530" si="37">SUM(G527:G529)</f>
        <v>40346</v>
      </c>
      <c r="H530" s="70">
        <f t="shared" si="37"/>
        <v>738723.9800000001</v>
      </c>
      <c r="I530" s="70">
        <f t="shared" si="37"/>
        <v>762</v>
      </c>
      <c r="J530" s="70">
        <f t="shared" si="37"/>
        <v>0</v>
      </c>
      <c r="K530" s="70">
        <f t="shared" si="37"/>
        <v>9123.8000000000011</v>
      </c>
      <c r="L530" s="70">
        <f t="shared" si="37"/>
        <v>887920.78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78673</v>
      </c>
      <c r="G532" s="18">
        <v>33828</v>
      </c>
      <c r="H532" s="18">
        <v>0</v>
      </c>
      <c r="I532" s="18">
        <v>0</v>
      </c>
      <c r="J532" s="18">
        <v>0</v>
      </c>
      <c r="K532" s="18">
        <v>0</v>
      </c>
      <c r="L532" s="69">
        <f>SUM(F532:K532)</f>
        <v>112501</v>
      </c>
      <c r="M532" s="8"/>
      <c r="N532" s="164"/>
    </row>
    <row r="533" spans="1:14" s="3" customFormat="1" ht="12.2" customHeight="1" x14ac:dyDescent="0.15">
      <c r="A533" s="21" t="s">
        <v>634</v>
      </c>
      <c r="B533" s="22">
        <v>21</v>
      </c>
      <c r="C533" s="22">
        <v>10</v>
      </c>
      <c r="D533" s="2" t="s">
        <v>432</v>
      </c>
      <c r="E533" s="22"/>
      <c r="F533" s="18">
        <v>37963</v>
      </c>
      <c r="G533" s="18">
        <v>16323</v>
      </c>
      <c r="H533" s="18">
        <v>0</v>
      </c>
      <c r="I533" s="18">
        <v>0</v>
      </c>
      <c r="J533" s="18">
        <v>0</v>
      </c>
      <c r="K533" s="18">
        <v>0</v>
      </c>
      <c r="L533" s="69">
        <f>SUM(F533:K533)</f>
        <v>54286</v>
      </c>
      <c r="M533" s="8"/>
      <c r="N533" s="164"/>
    </row>
    <row r="534" spans="1:14" s="3" customFormat="1" ht="12.2" customHeight="1" thickBot="1" x14ac:dyDescent="0.2">
      <c r="A534" s="21" t="s">
        <v>635</v>
      </c>
      <c r="B534" s="22">
        <v>21</v>
      </c>
      <c r="C534" s="22">
        <v>11</v>
      </c>
      <c r="D534" s="2" t="s">
        <v>432</v>
      </c>
      <c r="E534" s="22"/>
      <c r="F534" s="18">
        <v>46454</v>
      </c>
      <c r="G534" s="18">
        <v>19975</v>
      </c>
      <c r="H534" s="18">
        <v>0</v>
      </c>
      <c r="I534" s="18">
        <v>0</v>
      </c>
      <c r="J534" s="18">
        <v>0</v>
      </c>
      <c r="K534" s="18">
        <v>0</v>
      </c>
      <c r="L534" s="69">
        <f>SUM(F534:K534)</f>
        <v>66429</v>
      </c>
      <c r="M534" s="8"/>
      <c r="N534" s="164"/>
    </row>
    <row r="535" spans="1:14" s="3" customFormat="1" ht="12.2" customHeight="1" thickTop="1" x14ac:dyDescent="0.15">
      <c r="A535" s="97" t="s">
        <v>67</v>
      </c>
      <c r="B535" s="41">
        <v>21</v>
      </c>
      <c r="C535" s="41">
        <v>12</v>
      </c>
      <c r="D535" s="115" t="s">
        <v>432</v>
      </c>
      <c r="E535" s="41"/>
      <c r="F535" s="70">
        <f>SUM(F532:F534)</f>
        <v>163090</v>
      </c>
      <c r="G535" s="70">
        <f t="shared" ref="G535:L535" si="38">SUM(G532:G534)</f>
        <v>70126</v>
      </c>
      <c r="H535" s="70">
        <f t="shared" si="38"/>
        <v>0</v>
      </c>
      <c r="I535" s="70">
        <f t="shared" si="38"/>
        <v>0</v>
      </c>
      <c r="J535" s="70">
        <f t="shared" si="38"/>
        <v>0</v>
      </c>
      <c r="K535" s="70">
        <f t="shared" si="38"/>
        <v>0</v>
      </c>
      <c r="L535" s="70">
        <f t="shared" si="38"/>
        <v>233216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416.96</v>
      </c>
      <c r="I537" s="18">
        <v>0</v>
      </c>
      <c r="J537" s="18">
        <v>0</v>
      </c>
      <c r="K537" s="18">
        <v>0</v>
      </c>
      <c r="L537" s="69">
        <f>SUM(F537:K537)</f>
        <v>416.96</v>
      </c>
      <c r="M537" s="8"/>
      <c r="N537" s="164"/>
    </row>
    <row r="538" spans="1:14" s="3" customFormat="1" ht="12.2" customHeight="1" x14ac:dyDescent="0.15">
      <c r="A538" s="21" t="s">
        <v>634</v>
      </c>
      <c r="B538" s="22">
        <v>21</v>
      </c>
      <c r="C538" s="22">
        <v>14</v>
      </c>
      <c r="D538" s="2" t="s">
        <v>432</v>
      </c>
      <c r="E538" s="22"/>
      <c r="F538" s="18">
        <v>0</v>
      </c>
      <c r="G538" s="18">
        <v>0</v>
      </c>
      <c r="H538" s="18">
        <v>201.2</v>
      </c>
      <c r="I538" s="18">
        <v>0</v>
      </c>
      <c r="J538" s="18">
        <v>0</v>
      </c>
      <c r="K538" s="18">
        <v>0</v>
      </c>
      <c r="L538" s="69">
        <f>SUM(F538:K538)</f>
        <v>201.2</v>
      </c>
      <c r="M538" s="8"/>
      <c r="N538" s="164"/>
    </row>
    <row r="539" spans="1:14" s="3" customFormat="1" ht="12.2" customHeight="1" thickBot="1" x14ac:dyDescent="0.2">
      <c r="A539" s="21" t="s">
        <v>635</v>
      </c>
      <c r="B539" s="22">
        <v>21</v>
      </c>
      <c r="C539" s="22">
        <v>15</v>
      </c>
      <c r="D539" s="2" t="s">
        <v>432</v>
      </c>
      <c r="E539" s="22"/>
      <c r="F539" s="18">
        <v>0</v>
      </c>
      <c r="G539" s="18">
        <v>0</v>
      </c>
      <c r="H539" s="18">
        <v>246.2</v>
      </c>
      <c r="I539" s="18">
        <v>0</v>
      </c>
      <c r="J539" s="18">
        <v>0</v>
      </c>
      <c r="K539" s="18">
        <v>0</v>
      </c>
      <c r="L539" s="69">
        <f>SUM(F539:K539)</f>
        <v>246.2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864.3599999999999</v>
      </c>
      <c r="I540" s="70">
        <f t="shared" si="39"/>
        <v>0</v>
      </c>
      <c r="J540" s="70">
        <f t="shared" si="39"/>
        <v>0</v>
      </c>
      <c r="K540" s="70">
        <f t="shared" si="39"/>
        <v>0</v>
      </c>
      <c r="L540" s="70">
        <f t="shared" si="39"/>
        <v>864.3599999999999</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544818.27</v>
      </c>
      <c r="I542" s="18">
        <v>0</v>
      </c>
      <c r="J542" s="18">
        <v>0</v>
      </c>
      <c r="K542" s="18">
        <v>0</v>
      </c>
      <c r="L542" s="69">
        <f>SUM(F542:K542)</f>
        <v>544818.27</v>
      </c>
      <c r="M542" s="8"/>
      <c r="N542" s="164"/>
    </row>
    <row r="543" spans="1:14" s="3" customFormat="1" ht="12.2" customHeight="1" x14ac:dyDescent="0.15">
      <c r="A543" s="21" t="s">
        <v>634</v>
      </c>
      <c r="B543" s="22">
        <v>21</v>
      </c>
      <c r="C543" s="22">
        <v>18</v>
      </c>
      <c r="D543" s="2" t="s">
        <v>432</v>
      </c>
      <c r="E543" s="22"/>
      <c r="F543" s="18">
        <v>0</v>
      </c>
      <c r="G543" s="18">
        <v>0</v>
      </c>
      <c r="H543" s="18">
        <v>262896.43</v>
      </c>
      <c r="I543" s="18">
        <v>0</v>
      </c>
      <c r="J543" s="18">
        <v>0</v>
      </c>
      <c r="K543" s="18">
        <v>0</v>
      </c>
      <c r="L543" s="69">
        <f>SUM(F543:K543)</f>
        <v>262896.43</v>
      </c>
      <c r="M543" s="8"/>
      <c r="N543" s="164"/>
    </row>
    <row r="544" spans="1:14" s="3" customFormat="1" ht="12.2" customHeight="1" thickBot="1" x14ac:dyDescent="0.2">
      <c r="A544" s="21" t="s">
        <v>635</v>
      </c>
      <c r="B544" s="22">
        <v>21</v>
      </c>
      <c r="C544" s="22">
        <v>19</v>
      </c>
      <c r="D544" s="2" t="s">
        <v>432</v>
      </c>
      <c r="E544" s="22"/>
      <c r="F544" s="18">
        <v>0</v>
      </c>
      <c r="G544" s="18">
        <v>0</v>
      </c>
      <c r="H544" s="18">
        <v>321702.21000000002</v>
      </c>
      <c r="I544" s="18">
        <v>0</v>
      </c>
      <c r="J544" s="18">
        <v>0</v>
      </c>
      <c r="K544" s="18">
        <v>0</v>
      </c>
      <c r="L544" s="69">
        <f>SUM(F544:K544)</f>
        <v>321702.21000000002</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1129416.9099999999</v>
      </c>
      <c r="I545" s="140">
        <f t="shared" si="40"/>
        <v>0</v>
      </c>
      <c r="J545" s="140">
        <f t="shared" si="40"/>
        <v>0</v>
      </c>
      <c r="K545" s="140">
        <f t="shared" si="40"/>
        <v>0</v>
      </c>
      <c r="L545" s="140">
        <f t="shared" si="40"/>
        <v>1129416.9099999999</v>
      </c>
      <c r="M545" s="8"/>
      <c r="N545" s="164"/>
    </row>
    <row r="546" spans="1:14" s="3" customFormat="1" ht="12.2" customHeight="1" thickTop="1" x14ac:dyDescent="0.15">
      <c r="A546" s="75" t="s">
        <v>72</v>
      </c>
      <c r="B546" s="41">
        <v>21</v>
      </c>
      <c r="C546" s="41">
        <v>21</v>
      </c>
      <c r="D546" s="115" t="s">
        <v>432</v>
      </c>
      <c r="E546" s="41"/>
      <c r="F546" s="70">
        <f>F525+F530+F535+F540+F545</f>
        <v>2861406.1999999997</v>
      </c>
      <c r="G546" s="70">
        <f t="shared" ref="G546:L546" si="41">G525+G530+G535+G540+G545</f>
        <v>1641994.1</v>
      </c>
      <c r="H546" s="70">
        <f t="shared" si="41"/>
        <v>4869011.26</v>
      </c>
      <c r="I546" s="70">
        <f t="shared" si="41"/>
        <v>20768.849999999999</v>
      </c>
      <c r="J546" s="70">
        <f t="shared" si="41"/>
        <v>0</v>
      </c>
      <c r="K546" s="70">
        <f t="shared" si="41"/>
        <v>9123.8000000000011</v>
      </c>
      <c r="L546" s="70">
        <f t="shared" si="41"/>
        <v>9402304.2100000009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3171819.18</v>
      </c>
      <c r="G550" s="69">
        <f>L527</f>
        <v>559839.26</v>
      </c>
      <c r="H550" s="69">
        <f>L532</f>
        <v>112501</v>
      </c>
      <c r="I550" s="69">
        <f>L537</f>
        <v>416.96</v>
      </c>
      <c r="J550" s="69">
        <f>L542</f>
        <v>544818.27</v>
      </c>
      <c r="K550" s="69">
        <f>SUM(F550:J550)</f>
        <v>4389394.67</v>
      </c>
      <c r="L550" s="23" t="s">
        <v>288</v>
      </c>
      <c r="M550" s="8"/>
      <c r="N550" s="164"/>
    </row>
    <row r="551" spans="1:14" s="3" customFormat="1" ht="12.2" customHeight="1" x14ac:dyDescent="0.15">
      <c r="A551" s="21" t="s">
        <v>634</v>
      </c>
      <c r="B551" s="22">
        <v>21</v>
      </c>
      <c r="C551" s="22">
        <v>23</v>
      </c>
      <c r="D551" s="2" t="s">
        <v>432</v>
      </c>
      <c r="E551" s="22"/>
      <c r="F551" s="69">
        <f>L523</f>
        <v>1435203.08</v>
      </c>
      <c r="G551" s="69">
        <f>L528</f>
        <v>165362.32</v>
      </c>
      <c r="H551" s="69">
        <f>L533</f>
        <v>54286</v>
      </c>
      <c r="I551" s="69">
        <f>L538</f>
        <v>201.2</v>
      </c>
      <c r="J551" s="69">
        <f>L543</f>
        <v>262896.43</v>
      </c>
      <c r="K551" s="69">
        <f>SUM(F551:J551)</f>
        <v>1917949.03</v>
      </c>
      <c r="L551" s="23" t="s">
        <v>288</v>
      </c>
      <c r="M551" s="8"/>
      <c r="N551" s="164"/>
    </row>
    <row r="552" spans="1:14" s="3" customFormat="1" ht="12.2" customHeight="1" thickBot="1" x14ac:dyDescent="0.2">
      <c r="A552" s="21" t="s">
        <v>635</v>
      </c>
      <c r="B552" s="22">
        <v>21</v>
      </c>
      <c r="C552" s="22">
        <v>24</v>
      </c>
      <c r="D552" s="2" t="s">
        <v>432</v>
      </c>
      <c r="E552" s="22"/>
      <c r="F552" s="69">
        <f>L524</f>
        <v>2543863.9000000004</v>
      </c>
      <c r="G552" s="69">
        <f>L529</f>
        <v>162719.20000000001</v>
      </c>
      <c r="H552" s="69">
        <f>L534</f>
        <v>66429</v>
      </c>
      <c r="I552" s="69">
        <f>L539</f>
        <v>246.2</v>
      </c>
      <c r="J552" s="69">
        <f>L544</f>
        <v>321702.21000000002</v>
      </c>
      <c r="K552" s="69">
        <f>SUM(F552:J552)</f>
        <v>3094960.5100000007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7150886.1600000001</v>
      </c>
      <c r="G553" s="70">
        <f t="shared" si="42"/>
        <v>887920.78</v>
      </c>
      <c r="H553" s="70">
        <f t="shared" si="42"/>
        <v>233216</v>
      </c>
      <c r="I553" s="70">
        <f t="shared" si="42"/>
        <v>864.3599999999999</v>
      </c>
      <c r="J553" s="70">
        <f t="shared" si="42"/>
        <v>1129416.9099999999</v>
      </c>
      <c r="K553" s="70">
        <f t="shared" si="42"/>
        <v>9402304.2100000009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1212044.04</v>
      </c>
      <c r="G558" s="18">
        <v>689280.53</v>
      </c>
      <c r="H558" s="18">
        <v>1141031.46</v>
      </c>
      <c r="I558" s="18">
        <v>8106.91</v>
      </c>
      <c r="J558" s="18">
        <v>0</v>
      </c>
      <c r="K558" s="18">
        <v>0</v>
      </c>
      <c r="L558" s="69">
        <f>SUM(F558:K558)</f>
        <v>3050462.9400000004</v>
      </c>
      <c r="M558" s="8"/>
      <c r="N558" s="164"/>
    </row>
    <row r="559" spans="1:14" s="3" customFormat="1" ht="12.2" customHeight="1" x14ac:dyDescent="0.15">
      <c r="A559" s="21" t="s">
        <v>634</v>
      </c>
      <c r="B559" s="22">
        <v>22</v>
      </c>
      <c r="C559" s="22">
        <v>2</v>
      </c>
      <c r="D559" s="2" t="s">
        <v>432</v>
      </c>
      <c r="E559" s="22"/>
      <c r="F559" s="18">
        <v>578112.86</v>
      </c>
      <c r="G559" s="18">
        <v>415934.63</v>
      </c>
      <c r="H559" s="18">
        <v>435922.63</v>
      </c>
      <c r="I559" s="18">
        <v>5232.96</v>
      </c>
      <c r="J559" s="18">
        <v>0</v>
      </c>
      <c r="K559" s="18">
        <v>0</v>
      </c>
      <c r="L559" s="69">
        <f>SUM(F559:K559)</f>
        <v>1435203.08</v>
      </c>
      <c r="M559" s="8"/>
      <c r="N559" s="164"/>
    </row>
    <row r="560" spans="1:14" s="3" customFormat="1" ht="12.2" customHeight="1" thickBot="1" x14ac:dyDescent="0.2">
      <c r="A560" s="21" t="s">
        <v>635</v>
      </c>
      <c r="B560" s="22">
        <v>22</v>
      </c>
      <c r="C560" s="22">
        <v>3</v>
      </c>
      <c r="D560" s="2" t="s">
        <v>432</v>
      </c>
      <c r="E560" s="22"/>
      <c r="F560" s="18">
        <v>728542.86</v>
      </c>
      <c r="G560" s="18">
        <v>412212.99</v>
      </c>
      <c r="H560" s="18">
        <v>1398127.84</v>
      </c>
      <c r="I560" s="18">
        <v>4980.21</v>
      </c>
      <c r="J560" s="18">
        <v>0</v>
      </c>
      <c r="K560" s="18">
        <v>0</v>
      </c>
      <c r="L560" s="69">
        <f>SUM(F560:K560)</f>
        <v>2543863.9000000004</v>
      </c>
      <c r="M560" s="8"/>
      <c r="N560" s="164"/>
    </row>
    <row r="561" spans="1:14" s="3" customFormat="1" ht="12.2" customHeight="1" thickTop="1" x14ac:dyDescent="0.15">
      <c r="A561" s="97" t="s">
        <v>63</v>
      </c>
      <c r="B561" s="41">
        <v>22</v>
      </c>
      <c r="C561" s="41">
        <v>4</v>
      </c>
      <c r="D561" s="115" t="s">
        <v>432</v>
      </c>
      <c r="E561" s="41"/>
      <c r="F561" s="81">
        <f t="shared" ref="F561:L561" si="43">SUM(F558:F560)</f>
        <v>2518699.7599999998</v>
      </c>
      <c r="G561" s="81">
        <f t="shared" si="43"/>
        <v>1517428.1500000001</v>
      </c>
      <c r="H561" s="81">
        <f t="shared" si="43"/>
        <v>2975081.9299999997</v>
      </c>
      <c r="I561" s="81">
        <f t="shared" si="43"/>
        <v>18320.079999999998</v>
      </c>
      <c r="J561" s="81">
        <f t="shared" si="43"/>
        <v>0</v>
      </c>
      <c r="K561" s="81">
        <f t="shared" si="43"/>
        <v>0</v>
      </c>
      <c r="L561" s="70">
        <f t="shared" si="43"/>
        <v>7029529.9200000009</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121053.04</v>
      </c>
      <c r="G563" s="18">
        <v>73830</v>
      </c>
      <c r="H563" s="18">
        <v>0</v>
      </c>
      <c r="I563" s="18">
        <v>304</v>
      </c>
      <c r="J563" s="18">
        <v>0</v>
      </c>
      <c r="K563" s="18">
        <v>0</v>
      </c>
      <c r="L563" s="69">
        <f>SUM(F563:K563)</f>
        <v>195187.03999999998</v>
      </c>
      <c r="M563" s="8"/>
      <c r="N563" s="164"/>
    </row>
    <row r="564" spans="1:14" s="3" customFormat="1" ht="12.2" customHeight="1" x14ac:dyDescent="0.15">
      <c r="A564" s="21" t="s">
        <v>634</v>
      </c>
      <c r="B564" s="22">
        <v>22</v>
      </c>
      <c r="C564" s="22">
        <v>6</v>
      </c>
      <c r="D564" s="2" t="s">
        <v>432</v>
      </c>
      <c r="E564" s="22"/>
      <c r="F564" s="18">
        <v>35786.959999999999</v>
      </c>
      <c r="G564" s="18">
        <v>31649</v>
      </c>
      <c r="H564" s="18">
        <v>0</v>
      </c>
      <c r="I564" s="18">
        <v>158</v>
      </c>
      <c r="J564" s="18">
        <v>0</v>
      </c>
      <c r="K564" s="18">
        <v>0</v>
      </c>
      <c r="L564" s="69">
        <f>SUM(F564:K564)</f>
        <v>67593.959999999992</v>
      </c>
      <c r="M564" s="8"/>
      <c r="N564" s="164"/>
    </row>
    <row r="565" spans="1:14" s="3" customFormat="1" ht="12.2" customHeight="1" thickBot="1" x14ac:dyDescent="0.2">
      <c r="A565" s="21" t="s">
        <v>635</v>
      </c>
      <c r="B565" s="22">
        <v>22</v>
      </c>
      <c r="C565" s="22">
        <v>7</v>
      </c>
      <c r="D565" s="2" t="s">
        <v>432</v>
      </c>
      <c r="E565" s="22"/>
      <c r="F565" s="18">
        <v>23858.07</v>
      </c>
      <c r="G565" s="18">
        <v>6510</v>
      </c>
      <c r="H565" s="18">
        <v>0</v>
      </c>
      <c r="I565" s="18">
        <v>0</v>
      </c>
      <c r="J565" s="18">
        <v>0</v>
      </c>
      <c r="K565" s="18">
        <v>0</v>
      </c>
      <c r="L565" s="69">
        <f>SUM(F565:K565)</f>
        <v>30368.07</v>
      </c>
      <c r="M565" s="8"/>
      <c r="N565" s="164"/>
    </row>
    <row r="566" spans="1:14" s="3" customFormat="1" ht="12.2" customHeight="1" thickTop="1" x14ac:dyDescent="0.15">
      <c r="A566" s="97" t="s">
        <v>65</v>
      </c>
      <c r="B566" s="41">
        <v>22</v>
      </c>
      <c r="C566" s="41">
        <v>8</v>
      </c>
      <c r="D566" s="115" t="s">
        <v>432</v>
      </c>
      <c r="E566" s="41"/>
      <c r="F566" s="70">
        <f t="shared" ref="F566:L566" si="44">SUM(F563:F565)</f>
        <v>180698.07</v>
      </c>
      <c r="G566" s="70">
        <f t="shared" si="44"/>
        <v>111989</v>
      </c>
      <c r="H566" s="70">
        <f t="shared" si="44"/>
        <v>0</v>
      </c>
      <c r="I566" s="70">
        <f t="shared" si="44"/>
        <v>462</v>
      </c>
      <c r="J566" s="70">
        <f t="shared" si="44"/>
        <v>0</v>
      </c>
      <c r="K566" s="70">
        <f t="shared" si="44"/>
        <v>0</v>
      </c>
      <c r="L566" s="70">
        <f t="shared" si="44"/>
        <v>293149.07</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2699397.8299999996</v>
      </c>
      <c r="G572" s="70">
        <f t="shared" ref="G572:L572" si="46">G561+G566+G571</f>
        <v>1629417.1500000001</v>
      </c>
      <c r="H572" s="70">
        <f t="shared" si="46"/>
        <v>2975081.9299999997</v>
      </c>
      <c r="I572" s="70">
        <f t="shared" si="46"/>
        <v>18782.079999999998</v>
      </c>
      <c r="J572" s="70">
        <f t="shared" si="46"/>
        <v>0</v>
      </c>
      <c r="K572" s="70">
        <f t="shared" si="46"/>
        <v>0</v>
      </c>
      <c r="L572" s="70">
        <f t="shared" si="46"/>
        <v>7322678.9900000012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490912.58+152608.24</f>
        <v>643520.82000000007</v>
      </c>
      <c r="G583" s="18">
        <v>331711.42</v>
      </c>
      <c r="H583" s="18">
        <v>1072395.1299999999</v>
      </c>
      <c r="I583" s="69">
        <f t="shared" si="47"/>
        <v>2047627.3699999999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42219.61</v>
      </c>
      <c r="I585" s="69">
        <f t="shared" si="47"/>
        <v>42219.61</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643520.82000000007</v>
      </c>
      <c r="G589" s="79">
        <f t="shared" ref="G589:I589" si="48">SUM(G576:G588)</f>
        <v>331711.42</v>
      </c>
      <c r="H589" s="79">
        <f t="shared" si="48"/>
        <v>1114614.74</v>
      </c>
      <c r="I589" s="79">
        <f t="shared" si="48"/>
        <v>2089846.98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217361.6566462481</v>
      </c>
      <c r="I592" s="18">
        <v>104843.17476263399</v>
      </c>
      <c r="J592" s="18">
        <v>128294.9385911179</v>
      </c>
      <c r="K592" s="80">
        <f t="shared" ref="K592:K598" si="49">SUM(H592:J592)</f>
        <v>450499.77</v>
      </c>
      <c r="L592" s="23" t="s">
        <v>288</v>
      </c>
      <c r="M592" s="8"/>
      <c r="N592" s="164"/>
    </row>
    <row r="593" spans="1:14" s="3" customFormat="1" ht="12.2" customHeight="1" x14ac:dyDescent="0.15">
      <c r="A593" s="3" t="s">
        <v>638</v>
      </c>
      <c r="B593" s="22">
        <v>23</v>
      </c>
      <c r="C593" s="22">
        <v>2</v>
      </c>
      <c r="D593" s="2" t="s">
        <v>432</v>
      </c>
      <c r="E593" s="22"/>
      <c r="F593" s="78">
        <v>2722</v>
      </c>
      <c r="G593" s="79" t="s">
        <v>97</v>
      </c>
      <c r="H593" s="18">
        <v>544818.26439509948</v>
      </c>
      <c r="I593" s="18">
        <v>262896.43234303215</v>
      </c>
      <c r="J593" s="18">
        <v>321702.21326186828</v>
      </c>
      <c r="K593" s="80">
        <f t="shared" si="49"/>
        <v>1129416.9099999999</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91182</v>
      </c>
      <c r="K594" s="80">
        <f t="shared" si="49"/>
        <v>91182</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6259.7</v>
      </c>
      <c r="J595" s="18">
        <v>31734.47</v>
      </c>
      <c r="K595" s="80">
        <f t="shared" si="49"/>
        <v>37994.17</v>
      </c>
      <c r="L595" s="23" t="s">
        <v>288</v>
      </c>
      <c r="M595" s="8"/>
      <c r="N595" s="164"/>
    </row>
    <row r="596" spans="1:14" s="3" customFormat="1" ht="12.2" customHeight="1" x14ac:dyDescent="0.15">
      <c r="A596" s="103" t="s">
        <v>652</v>
      </c>
      <c r="B596" s="22">
        <v>23</v>
      </c>
      <c r="C596" s="22">
        <v>5</v>
      </c>
      <c r="D596" s="2" t="s">
        <v>432</v>
      </c>
      <c r="E596" s="22"/>
      <c r="F596" s="78">
        <v>2725</v>
      </c>
      <c r="G596" s="79" t="s">
        <v>97</v>
      </c>
      <c r="H596" s="18">
        <f>439.8+197.91</f>
        <v>637.71</v>
      </c>
      <c r="I596" s="18">
        <v>219.9</v>
      </c>
      <c r="J596" s="18">
        <f>3778.6+934.56</f>
        <v>4713.16</v>
      </c>
      <c r="K596" s="80">
        <f t="shared" si="49"/>
        <v>5570.7699999999995</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762817.63104134751</v>
      </c>
      <c r="I599" s="81">
        <f>SUM(I592:I598)</f>
        <v>374219.20710566617</v>
      </c>
      <c r="J599" s="81">
        <f>SUM(J592:J598)</f>
        <v>577626.7818529862</v>
      </c>
      <c r="K599" s="81">
        <f>SUM(K592:K598)</f>
        <v>1714663.6199999999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178894.44200612555</v>
      </c>
      <c r="I605" s="18">
        <v>89700.85</v>
      </c>
      <c r="J605" s="18">
        <v>255433.39</v>
      </c>
      <c r="K605" s="80">
        <f>SUM(H605:J605)</f>
        <v>524028.68200612557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178894.44200612555</v>
      </c>
      <c r="I606" s="81">
        <f>SUM(I603:I605)</f>
        <v>89700.85</v>
      </c>
      <c r="J606" s="81">
        <f>SUM(J603:J605)</f>
        <v>255433.39</v>
      </c>
      <c r="K606" s="81">
        <f>SUM(K603:K605)</f>
        <v>524028.68200612557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66050.150647153147</v>
      </c>
      <c r="G612" s="18">
        <v>15314.808448734386</v>
      </c>
      <c r="H612" s="18">
        <v>0</v>
      </c>
      <c r="I612" s="18">
        <v>5856.3017825814632</v>
      </c>
      <c r="J612" s="18">
        <v>0</v>
      </c>
      <c r="K612" s="18">
        <v>0</v>
      </c>
      <c r="L612" s="69">
        <f>SUM(F612:K612)</f>
        <v>87221.260878468995</v>
      </c>
      <c r="M612" s="8"/>
      <c r="N612" s="164"/>
    </row>
    <row r="613" spans="1:14" s="3" customFormat="1" ht="12.2" customHeight="1" x14ac:dyDescent="0.15">
      <c r="A613" s="21" t="s">
        <v>634</v>
      </c>
      <c r="B613" s="22">
        <v>23</v>
      </c>
      <c r="C613" s="22">
        <v>14</v>
      </c>
      <c r="D613" s="2" t="s">
        <v>432</v>
      </c>
      <c r="E613" s="22"/>
      <c r="F613" s="18">
        <v>31871.818724975488</v>
      </c>
      <c r="G613" s="18">
        <v>7390.002807008339</v>
      </c>
      <c r="H613" s="18">
        <v>0</v>
      </c>
      <c r="I613" s="18">
        <v>2825.8980030234361</v>
      </c>
      <c r="J613" s="18">
        <v>0</v>
      </c>
      <c r="K613" s="18">
        <v>0</v>
      </c>
      <c r="L613" s="69">
        <f>SUM(F613:K613)</f>
        <v>42087.719535007265</v>
      </c>
      <c r="M613" s="8"/>
      <c r="N613" s="164"/>
    </row>
    <row r="614" spans="1:14" s="3" customFormat="1" ht="12.2" customHeight="1" thickBot="1" x14ac:dyDescent="0.2">
      <c r="A614" s="21" t="s">
        <v>645</v>
      </c>
      <c r="B614" s="22">
        <v>23</v>
      </c>
      <c r="C614" s="22">
        <v>15</v>
      </c>
      <c r="D614" s="2" t="s">
        <v>432</v>
      </c>
      <c r="E614" s="22"/>
      <c r="F614" s="18">
        <v>24356.030627871362</v>
      </c>
      <c r="G614" s="18">
        <v>5510.6587442572727</v>
      </c>
      <c r="H614" s="18">
        <v>0</v>
      </c>
      <c r="I614" s="18">
        <v>1111.2802143950994</v>
      </c>
      <c r="J614" s="18">
        <v>0</v>
      </c>
      <c r="K614" s="18">
        <v>0</v>
      </c>
      <c r="L614" s="69">
        <f>SUM(F614:K614)</f>
        <v>30977.96958652373</v>
      </c>
      <c r="M614" s="8"/>
      <c r="N614" s="164"/>
    </row>
    <row r="615" spans="1:14" s="3" customFormat="1" ht="12.2" customHeight="1" thickTop="1" x14ac:dyDescent="0.15">
      <c r="A615" s="75" t="s">
        <v>340</v>
      </c>
      <c r="B615" s="41">
        <v>23</v>
      </c>
      <c r="C615" s="41">
        <v>16</v>
      </c>
      <c r="D615" s="36" t="s">
        <v>432</v>
      </c>
      <c r="E615" s="41"/>
      <c r="F615" s="81">
        <f t="shared" ref="F615:L615" si="50">SUM(F612:F614)</f>
        <v>122278</v>
      </c>
      <c r="G615" s="81">
        <f t="shared" si="50"/>
        <v>28215.469999999994</v>
      </c>
      <c r="H615" s="81">
        <f t="shared" si="50"/>
        <v>0</v>
      </c>
      <c r="I615" s="81">
        <f t="shared" si="50"/>
        <v>9793.4799999999977</v>
      </c>
      <c r="J615" s="81">
        <f t="shared" si="50"/>
        <v>0</v>
      </c>
      <c r="K615" s="81">
        <f t="shared" si="50"/>
        <v>0</v>
      </c>
      <c r="L615" s="70">
        <f t="shared" si="50"/>
        <v>160286.95000000001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1856505.01</v>
      </c>
      <c r="H618" s="80">
        <f>SUM(F52)</f>
        <v>1856505.0100000002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258605.36000000002</v>
      </c>
      <c r="H619" s="80">
        <f>SUM(G52)</f>
        <v>258605.36</v>
      </c>
      <c r="I619" s="87" t="s">
        <v>872</v>
      </c>
      <c r="J619" s="80">
        <f>G619-H619</f>
        <v>0</v>
      </c>
      <c r="K619" s="80"/>
      <c r="L619" s="80"/>
      <c r="M619" s="8"/>
    </row>
    <row r="620" spans="1:14" s="3" customFormat="1" ht="12.2" customHeight="1" x14ac:dyDescent="0.15">
      <c r="A620" s="74"/>
      <c r="B620" s="22"/>
      <c r="C620" s="22"/>
      <c r="D620" s="22"/>
      <c r="E620" s="22"/>
      <c r="F620" s="87" t="s">
        <v>685</v>
      </c>
      <c r="G620" s="80">
        <f>SUM(H19)</f>
        <v>1740076.09</v>
      </c>
      <c r="H620" s="80">
        <f>SUM(H52)</f>
        <v>1740076.09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40430.620000000003</v>
      </c>
      <c r="H622" s="80">
        <f>SUM(J52)</f>
        <v>40430.619999999995</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86702.58</v>
      </c>
      <c r="H624" s="80">
        <f>G477</f>
        <v>86702.579999999842</v>
      </c>
      <c r="I624" s="87" t="s">
        <v>102</v>
      </c>
      <c r="J624" s="80">
        <f t="shared" si="51"/>
        <v>1.6007106751203537E-10</v>
      </c>
      <c r="K624" s="80"/>
      <c r="L624" s="80"/>
      <c r="M624" s="8"/>
    </row>
    <row r="625" spans="1:13" s="3" customFormat="1" ht="12.2" customHeight="1" x14ac:dyDescent="0.15">
      <c r="A625" s="74"/>
      <c r="B625" s="22"/>
      <c r="C625" s="22"/>
      <c r="D625" s="22"/>
      <c r="E625" s="22"/>
      <c r="F625" s="86" t="s">
        <v>863</v>
      </c>
      <c r="G625" s="80">
        <f>H51</f>
        <v>34246.83</v>
      </c>
      <c r="H625" s="80">
        <f>H477</f>
        <v>34246.830000000075</v>
      </c>
      <c r="I625" s="87" t="s">
        <v>103</v>
      </c>
      <c r="J625" s="80">
        <f t="shared" si="51"/>
        <v>-7.2759576141834259E-11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39213.1</v>
      </c>
      <c r="H627" s="80">
        <f>J477</f>
        <v>39213.100000000006</v>
      </c>
      <c r="I627" s="87" t="s">
        <v>105</v>
      </c>
      <c r="J627" s="80">
        <f t="shared" si="51"/>
        <v>0</v>
      </c>
      <c r="K627" s="67"/>
      <c r="L627" s="69"/>
      <c r="M627" s="8"/>
    </row>
    <row r="628" spans="1:13" s="3" customFormat="1" ht="12.2" customHeight="1" x14ac:dyDescent="0.15">
      <c r="A628" s="21"/>
      <c r="B628" s="22"/>
      <c r="C628" s="22"/>
      <c r="D628" s="22"/>
      <c r="E628" s="22"/>
      <c r="F628" s="86" t="s">
        <v>658</v>
      </c>
      <c r="G628" s="80">
        <f>F194</f>
        <v>30537846.310000002</v>
      </c>
      <c r="H628" s="80">
        <f>SUM(F469)</f>
        <v>30537846.309999999</v>
      </c>
      <c r="I628" s="87" t="s">
        <v>106</v>
      </c>
      <c r="J628" s="80">
        <f>G628-H628</f>
        <v>0</v>
      </c>
      <c r="K628" s="67"/>
      <c r="L628" s="69"/>
      <c r="M628" s="8"/>
    </row>
    <row r="629" spans="1:13" s="3" customFormat="1" ht="12.2" customHeight="1" x14ac:dyDescent="0.15">
      <c r="A629" s="21"/>
      <c r="B629" s="22"/>
      <c r="C629" s="22"/>
      <c r="D629" s="22"/>
      <c r="E629" s="22"/>
      <c r="F629" s="86" t="s">
        <v>659</v>
      </c>
      <c r="G629" s="80">
        <f>G194</f>
        <v>800297.72</v>
      </c>
      <c r="H629" s="80">
        <f>SUM(G469)</f>
        <v>800297.72</v>
      </c>
      <c r="I629" s="87" t="s">
        <v>107</v>
      </c>
      <c r="J629" s="80">
        <f>G629-H629</f>
        <v>0</v>
      </c>
      <c r="K629" s="67"/>
      <c r="L629" s="69"/>
      <c r="M629" s="8"/>
    </row>
    <row r="630" spans="1:13" s="3" customFormat="1" ht="12.2" customHeight="1" x14ac:dyDescent="0.15">
      <c r="A630" s="21"/>
      <c r="B630" s="22"/>
      <c r="C630" s="22"/>
      <c r="D630" s="22"/>
      <c r="E630" s="22"/>
      <c r="F630" s="86" t="s">
        <v>660</v>
      </c>
      <c r="G630" s="80">
        <f>H194</f>
        <v>4244540.57</v>
      </c>
      <c r="H630" s="80">
        <f>SUM(H469)</f>
        <v>4244540.57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106873.93</v>
      </c>
      <c r="H632" s="80">
        <f>SUM(J469)</f>
        <v>106873.93</v>
      </c>
      <c r="I632" s="87" t="s">
        <v>110</v>
      </c>
      <c r="J632" s="80">
        <f>G632-H632</f>
        <v>0</v>
      </c>
      <c r="K632" s="67"/>
      <c r="L632" s="69"/>
      <c r="M632" s="8"/>
    </row>
    <row r="633" spans="1:13" s="3" customFormat="1" ht="12.2" customHeight="1" x14ac:dyDescent="0.15">
      <c r="A633" s="21"/>
      <c r="B633" s="22"/>
      <c r="C633" s="22"/>
      <c r="D633" s="22"/>
      <c r="E633" s="22"/>
      <c r="F633" s="86" t="s">
        <v>394</v>
      </c>
      <c r="G633" s="80">
        <f>SUM(L272)</f>
        <v>30637846.310000002</v>
      </c>
      <c r="H633" s="80">
        <f>SUM(F473)</f>
        <v>30637846.309999999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4241523.2799999993</v>
      </c>
      <c r="H634" s="80">
        <f>SUM(H473)</f>
        <v>4241523.28</v>
      </c>
      <c r="I634" s="87" t="s">
        <v>112</v>
      </c>
      <c r="J634" s="80">
        <f>G634-H634</f>
        <v>0</v>
      </c>
      <c r="K634" s="67"/>
      <c r="L634" s="69"/>
      <c r="M634" s="8"/>
    </row>
    <row r="635" spans="1:13" s="124" customFormat="1" ht="12.2" customHeight="1" x14ac:dyDescent="0.15">
      <c r="A635" s="21"/>
      <c r="B635" s="22"/>
      <c r="C635" s="22"/>
      <c r="D635" s="22"/>
      <c r="E635" s="22"/>
      <c r="F635" s="99" t="s">
        <v>247</v>
      </c>
      <c r="G635" s="80">
        <f>I363</f>
        <v>48205.66</v>
      </c>
      <c r="H635" s="80">
        <f>I370</f>
        <v>48205.66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1149172.5100000002</v>
      </c>
      <c r="H636" s="80">
        <f>SUM(G473)</f>
        <v>1149172.51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106873.93</v>
      </c>
      <c r="H638" s="108">
        <f>SUM(J469)</f>
        <v>106873.93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104260.58999999998</v>
      </c>
      <c r="H639" s="108">
        <f>SUM(J473)</f>
        <v>104260.59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40430.620000000003</v>
      </c>
      <c r="H641" s="80">
        <f>SUM(G462)</f>
        <v>40430.619999999995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40430.620000000003</v>
      </c>
      <c r="H643" s="80">
        <f>SUM(I462)</f>
        <v>40430.619999999995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106873.93</v>
      </c>
      <c r="H647" s="80">
        <f>L409</f>
        <v>106873.93</v>
      </c>
      <c r="I647" s="87" t="s">
        <v>477</v>
      </c>
      <c r="J647" s="80">
        <f t="shared" si="51"/>
        <v>0</v>
      </c>
      <c r="K647" s="67"/>
      <c r="L647" s="69"/>
      <c r="M647" s="8"/>
    </row>
    <row r="648" spans="1:13" s="3" customFormat="1" ht="12.2" customHeight="1" x14ac:dyDescent="0.15">
      <c r="A648" s="21"/>
      <c r="B648" s="22"/>
      <c r="C648" s="22"/>
      <c r="D648" s="22"/>
      <c r="E648" s="22"/>
      <c r="F648" s="86" t="s">
        <v>51</v>
      </c>
      <c r="G648" s="80">
        <f>K599</f>
        <v>1714663.6199999999</v>
      </c>
      <c r="H648" s="80">
        <f>L209+L227+L245</f>
        <v>1714663.62</v>
      </c>
      <c r="I648" s="87" t="s">
        <v>396</v>
      </c>
      <c r="J648" s="80">
        <f t="shared" si="51"/>
        <v>0</v>
      </c>
      <c r="K648" s="67"/>
      <c r="L648" s="69"/>
      <c r="M648" s="8"/>
    </row>
    <row r="649" spans="1:13" s="3" customFormat="1" ht="12.2" customHeight="1" x14ac:dyDescent="0.15">
      <c r="A649" s="21"/>
      <c r="B649" s="22"/>
      <c r="C649" s="22"/>
      <c r="D649" s="22"/>
      <c r="E649" s="22"/>
      <c r="F649" s="86" t="s">
        <v>52</v>
      </c>
      <c r="G649" s="80">
        <f>K606</f>
        <v>524028.68200612557</v>
      </c>
      <c r="H649" s="80">
        <f>(J258+J339)-(J256+J337)</f>
        <v>524028.68000000005</v>
      </c>
      <c r="I649" s="87" t="s">
        <v>699</v>
      </c>
      <c r="J649" s="80">
        <f t="shared" si="51"/>
        <v>2.0061255199834704E-3</v>
      </c>
      <c r="K649" s="67"/>
      <c r="L649" s="69"/>
      <c r="M649" s="8"/>
    </row>
    <row r="650" spans="1:13" s="3" customFormat="1" ht="12.2" customHeight="1" x14ac:dyDescent="0.15">
      <c r="A650" s="21"/>
      <c r="B650" s="22"/>
      <c r="C650" s="22"/>
      <c r="D650" s="22"/>
      <c r="E650" s="22"/>
      <c r="F650" s="86" t="s">
        <v>387</v>
      </c>
      <c r="G650" s="80">
        <f>L209</f>
        <v>762817.63</v>
      </c>
      <c r="H650" s="80">
        <f>H599</f>
        <v>762817.63104134751</v>
      </c>
      <c r="I650" s="87" t="s">
        <v>388</v>
      </c>
      <c r="J650" s="80">
        <f t="shared" si="51"/>
        <v>-1.0413475101813674E-3</v>
      </c>
      <c r="K650" s="67"/>
      <c r="L650" s="69"/>
      <c r="M650" s="8"/>
    </row>
    <row r="651" spans="1:13" s="3" customFormat="1" ht="12.2" customHeight="1" x14ac:dyDescent="0.15">
      <c r="A651" s="21"/>
      <c r="B651" s="22"/>
      <c r="C651" s="22"/>
      <c r="D651" s="22"/>
      <c r="E651" s="22"/>
      <c r="F651" s="86" t="s">
        <v>392</v>
      </c>
      <c r="G651" s="80">
        <f>L227</f>
        <v>374219.21</v>
      </c>
      <c r="H651" s="80">
        <f>I599</f>
        <v>374219.20710566617</v>
      </c>
      <c r="I651" s="87" t="s">
        <v>389</v>
      </c>
      <c r="J651" s="80">
        <f t="shared" si="51"/>
        <v>2.8943338547833264E-3</v>
      </c>
      <c r="K651" s="67"/>
      <c r="L651" s="69"/>
      <c r="M651" s="8"/>
    </row>
    <row r="652" spans="1:13" s="3" customFormat="1" ht="12.2" customHeight="1" x14ac:dyDescent="0.15">
      <c r="A652" s="21"/>
      <c r="B652" s="22"/>
      <c r="C652" s="22"/>
      <c r="D652" s="22"/>
      <c r="E652" s="22"/>
      <c r="F652" s="86" t="s">
        <v>393</v>
      </c>
      <c r="G652" s="80">
        <f>L245</f>
        <v>577626.78</v>
      </c>
      <c r="H652" s="80">
        <f>J599</f>
        <v>577626.7818529862</v>
      </c>
      <c r="I652" s="87" t="s">
        <v>390</v>
      </c>
      <c r="J652" s="80">
        <f t="shared" si="51"/>
        <v>-1.8529861699789762E-3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2.0061135292053223E-3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14293421.909142422</v>
      </c>
      <c r="G661" s="13">
        <f>(L230+L310+L360)</f>
        <v>6999744.6700306283</v>
      </c>
      <c r="H661" s="13">
        <f>(L248+L329+L361)</f>
        <v>10665787.360826952</v>
      </c>
      <c r="I661" s="13">
        <f>SUM(F661:H661)</f>
        <v>31958953.940000005</v>
      </c>
      <c r="J661" s="13"/>
      <c r="K661" s="13"/>
      <c r="L661" s="13"/>
      <c r="M661" s="9"/>
    </row>
    <row r="662" spans="1:13" s="3" customFormat="1" ht="12.2" customHeight="1" x14ac:dyDescent="0.2">
      <c r="A662" s="1" t="s">
        <v>127</v>
      </c>
      <c r="F662" s="13">
        <f>(L359/IF(SUM(L359:L361)=0,1,SUM(L359:L361))*(SUM(G97:G110)))</f>
        <v>167277.77847391521</v>
      </c>
      <c r="G662" s="13">
        <f>(L360/IF(SUM(L359:L361)=0,1,SUM(L359:L361))*(SUM(G97:G110)))</f>
        <v>74001.31311232211</v>
      </c>
      <c r="H662" s="13">
        <f>(L361/IF(SUM(L359:L361)=0,1,SUM(L359:L361))*(SUM(G97:G110)))</f>
        <v>90554.238413762592</v>
      </c>
      <c r="I662" s="13">
        <f>SUM(F662:H662)</f>
        <v>331833.3299999999</v>
      </c>
      <c r="J662"/>
      <c r="K662" s="13"/>
      <c r="L662" s="13"/>
      <c r="M662" s="8"/>
    </row>
    <row r="663" spans="1:13" s="3" customFormat="1" ht="12.2" customHeight="1" x14ac:dyDescent="0.2">
      <c r="A663" s="1" t="s">
        <v>128</v>
      </c>
      <c r="F663" s="13">
        <f>(L209+L288)-(J209+J288)</f>
        <v>785055.43</v>
      </c>
      <c r="G663" s="13">
        <f>(L227+L307)-(J227+J307)</f>
        <v>384949.83</v>
      </c>
      <c r="H663" s="13">
        <f>(L245+L326)-(J245+J326)</f>
        <v>590757.67000000004</v>
      </c>
      <c r="I663" s="13">
        <f>SUM(F663:H663)</f>
        <v>1760762.9300000002</v>
      </c>
      <c r="J663"/>
      <c r="K663" s="13"/>
      <c r="L663" s="13"/>
      <c r="M663" s="9"/>
    </row>
    <row r="664" spans="1:13" s="3" customFormat="1" ht="12.2" customHeight="1" x14ac:dyDescent="0.15">
      <c r="A664" s="141" t="s">
        <v>129</v>
      </c>
      <c r="B664" s="124"/>
      <c r="C664" s="124"/>
      <c r="D664" s="124"/>
      <c r="E664" s="124"/>
      <c r="F664" s="142">
        <f>SUM(F576:F588)+SUM(H603:H605)+SUM(L612)</f>
        <v>909636.52288459463</v>
      </c>
      <c r="G664" s="142">
        <f>SUM(G576:G588)+SUM(I603:I605)+L613</f>
        <v>463499.98953500728</v>
      </c>
      <c r="H664" s="142">
        <f>SUM(H576:H588)+SUM(J603:J605)+L614</f>
        <v>1401026.0995865236</v>
      </c>
      <c r="I664" s="13">
        <f>SUM(F664:H664)</f>
        <v>2774162.6120061255</v>
      </c>
      <c r="J664" s="13"/>
      <c r="K664" s="13"/>
      <c r="L664" s="13"/>
      <c r="M664" s="9"/>
    </row>
    <row r="665" spans="1:13" s="3" customFormat="1" ht="12.2" customHeight="1" x14ac:dyDescent="0.15">
      <c r="A665" s="1" t="s">
        <v>130</v>
      </c>
      <c r="F665" s="13">
        <f>F661-SUM(F662:F664)</f>
        <v>12431452.177783912</v>
      </c>
      <c r="G665" s="13">
        <f>G661-SUM(G662:G664)</f>
        <v>6077293.5373832993</v>
      </c>
      <c r="H665" s="13">
        <f>H661-SUM(H662:H664)</f>
        <v>8583449.3528266661</v>
      </c>
      <c r="I665" s="13">
        <f>I661-SUM(I662:I664)</f>
        <v>27092195.067993879</v>
      </c>
      <c r="J665" s="13"/>
      <c r="K665" s="13"/>
      <c r="L665" s="13"/>
      <c r="M665" s="8"/>
    </row>
    <row r="666" spans="1:13" s="3" customFormat="1" ht="12.2" customHeight="1" x14ac:dyDescent="0.2">
      <c r="A666" s="1" t="s">
        <v>131</v>
      </c>
      <c r="F666" s="182">
        <v>590.28</v>
      </c>
      <c r="G666" s="183">
        <v>307.19</v>
      </c>
      <c r="H666" s="183">
        <v>390.91</v>
      </c>
      <c r="I666" s="13">
        <f>SUM(F666:H666)</f>
        <v>1288.3800000000001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21060.26</v>
      </c>
      <c r="G668" s="13">
        <f>ROUND(G665/G666,2)</f>
        <v>19783.5</v>
      </c>
      <c r="H668" s="13">
        <f>ROUND(H665/H666,2)</f>
        <v>21957.61</v>
      </c>
      <c r="I668" s="13">
        <f>ROUND(I665/I666,2)</f>
        <v>21028.11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-0.16</v>
      </c>
      <c r="I671" s="13">
        <f>SUM(F671:H671)</f>
        <v>-0.16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21060.26</v>
      </c>
      <c r="G673" s="13">
        <f>ROUND((G665+G670)/(G666+G671),2)</f>
        <v>19783.5</v>
      </c>
      <c r="H673" s="13">
        <f>ROUND((H665+H670)/(H666+H671),2)</f>
        <v>21966.6</v>
      </c>
      <c r="I673" s="13">
        <f>ROUND((I665+I670)/(I666+I671),2)</f>
        <v>21030.720000000001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208038.83000000002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25528.07+37415.28+90809.8</f>
        <v>153753.15</v>
      </c>
      <c r="F9" s="271" t="s">
        <v>1612</v>
      </c>
    </row>
    <row r="10" spans="2:8" x14ac:dyDescent="0.25">
      <c r="B10" s="270"/>
      <c r="C10" s="270"/>
      <c r="D10" s="270"/>
      <c r="E10" s="270"/>
      <c r="F10" s="270"/>
    </row>
    <row r="11" spans="2:8" x14ac:dyDescent="0.25">
      <c r="B11" s="270"/>
      <c r="C11" s="274" t="s">
        <v>1616</v>
      </c>
      <c r="D11" s="271" t="s">
        <v>1619</v>
      </c>
      <c r="E11" s="259">
        <f>1676.46+2680.05+5885.62</f>
        <v>10242.130000000001</v>
      </c>
      <c r="F11" s="271" t="s">
        <v>1613</v>
      </c>
    </row>
    <row r="12" spans="2:8" x14ac:dyDescent="0.25">
      <c r="B12" s="270"/>
      <c r="C12" s="270"/>
      <c r="D12" s="271"/>
      <c r="E12" s="270"/>
      <c r="F12" s="270"/>
    </row>
    <row r="13" spans="2:8" x14ac:dyDescent="0.25">
      <c r="B13" s="270"/>
      <c r="C13" s="271" t="s">
        <v>1606</v>
      </c>
      <c r="D13" s="271" t="s">
        <v>1620</v>
      </c>
      <c r="E13" s="259">
        <f>44043.55</f>
        <v>44043.55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3"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Somersworth</v>
      </c>
      <c r="C5" s="321"/>
      <c r="D5" s="321"/>
      <c r="E5" s="321"/>
      <c r="F5" s="321"/>
    </row>
    <row r="8" spans="1:9" ht="18" x14ac:dyDescent="0.25">
      <c r="A8" s="239" t="s">
        <v>1548</v>
      </c>
      <c r="F8" s="246" t="s">
        <v>1566</v>
      </c>
    </row>
    <row r="9" spans="1:9" ht="15" x14ac:dyDescent="0.2">
      <c r="A9" s="237" t="s">
        <v>1549</v>
      </c>
      <c r="B9" s="240">
        <f>'DOE25'!G97</f>
        <v>310872.25999999995</v>
      </c>
      <c r="F9" s="237" t="s">
        <v>1562</v>
      </c>
    </row>
    <row r="10" spans="1:9" ht="15" x14ac:dyDescent="0.2">
      <c r="A10" s="237" t="s">
        <v>1550</v>
      </c>
      <c r="B10" s="240">
        <f>'DOE25'!G112-'DOE25'!G97</f>
        <v>20961.070000000007</v>
      </c>
      <c r="F10" s="237" t="s">
        <v>1563</v>
      </c>
    </row>
    <row r="11" spans="1:9" ht="15" x14ac:dyDescent="0.2">
      <c r="A11" s="237" t="s">
        <v>1551</v>
      </c>
      <c r="B11" s="240">
        <f>'DOE25'!G140</f>
        <v>85441.09</v>
      </c>
      <c r="F11" s="237" t="s">
        <v>1564</v>
      </c>
    </row>
    <row r="12" spans="1:9" ht="15" x14ac:dyDescent="0.2">
      <c r="A12" s="237" t="s">
        <v>1552</v>
      </c>
      <c r="B12" s="240">
        <f>'DOE25'!G170</f>
        <v>383023.3</v>
      </c>
      <c r="F12" s="237" t="s">
        <v>1565</v>
      </c>
    </row>
    <row r="13" spans="1:9" ht="15" x14ac:dyDescent="0.2">
      <c r="A13" s="237" t="s">
        <v>1553</v>
      </c>
      <c r="B13" s="240">
        <f>'DOE25'!G193-'DOE25'!G180</f>
        <v>0</v>
      </c>
      <c r="F13" s="237" t="s">
        <v>1575</v>
      </c>
    </row>
    <row r="14" spans="1:9" ht="18" x14ac:dyDescent="0.25">
      <c r="A14" s="239" t="s">
        <v>732</v>
      </c>
      <c r="B14" s="241">
        <f>SUM(B9:B13)</f>
        <v>800297.72</v>
      </c>
    </row>
    <row r="16" spans="1:9" ht="18" x14ac:dyDescent="0.25">
      <c r="A16" s="239" t="s">
        <v>783</v>
      </c>
      <c r="F16" s="246" t="s">
        <v>1567</v>
      </c>
    </row>
    <row r="17" spans="1:6" ht="15" x14ac:dyDescent="0.2">
      <c r="A17" s="237" t="s">
        <v>1554</v>
      </c>
      <c r="B17" s="240">
        <f>'DOE25'!L363-'DOE25'!L362</f>
        <v>1149172.5100000002</v>
      </c>
      <c r="F17" s="237" t="s">
        <v>1568</v>
      </c>
    </row>
    <row r="18" spans="1:6" ht="15" x14ac:dyDescent="0.2">
      <c r="A18" s="237" t="s">
        <v>1555</v>
      </c>
      <c r="B18" s="250">
        <v>0</v>
      </c>
      <c r="F18" s="246" t="s">
        <v>1592</v>
      </c>
    </row>
    <row r="19" spans="1:6" ht="18" x14ac:dyDescent="0.25">
      <c r="A19" s="239" t="s">
        <v>725</v>
      </c>
      <c r="B19" s="241">
        <f>SUM(B17:B18)</f>
        <v>1149172.5100000002</v>
      </c>
    </row>
    <row r="21" spans="1:6" ht="18.75" thickBot="1" x14ac:dyDescent="0.3">
      <c r="A21" s="239" t="s">
        <v>1556</v>
      </c>
    </row>
    <row r="22" spans="1:6" ht="18.75" thickTop="1" x14ac:dyDescent="0.25">
      <c r="A22" s="239" t="s">
        <v>1557</v>
      </c>
      <c r="B22" s="245">
        <f>B14-B19</f>
        <v>-348874.79000000027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436630.48</v>
      </c>
      <c r="F31" s="237" t="s">
        <v>1572</v>
      </c>
    </row>
    <row r="33" spans="1:6" ht="15" x14ac:dyDescent="0.2">
      <c r="A33" s="237" t="s">
        <v>1790</v>
      </c>
      <c r="B33" s="240">
        <f>'DOE25'!G477</f>
        <v>86702.579999999842</v>
      </c>
      <c r="F33" s="237" t="s">
        <v>1573</v>
      </c>
    </row>
    <row r="36" spans="1:6" ht="15" x14ac:dyDescent="0.2">
      <c r="A36" s="237" t="s">
        <v>1559</v>
      </c>
      <c r="B36" s="251">
        <v>61863.76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Somersworth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5685711.9699999997</v>
      </c>
      <c r="C9" s="166">
        <f>'DOE25'!G198+'DOE25'!G216+'DOE25'!G234+'DOE25'!G277+'DOE25'!G296+'DOE25'!G315</f>
        <v>3276917.4100000006</v>
      </c>
    </row>
    <row r="10" spans="1:3" x14ac:dyDescent="0.2">
      <c r="A10" t="s">
        <v>772</v>
      </c>
      <c r="B10" s="176">
        <f>1035269.64+1080528.02+1351423.05+1397676.93+114314.03+223416.11-0.04</f>
        <v>5202627.74</v>
      </c>
      <c r="C10" s="176">
        <f>4133.73+294186.38+105343.16+2992.27+243.96+353.66+20575.05+53694.46+291999.28+280506.24+9671.07+10125.61+1372.77+1458.66+1668.08+1704.22+189.23-17406.05+474.26+74991.35+78336.11+197279.85+212646.37+347828.86+11716.42+1640.35+1995.32+334.51+98243.02+265553.9+354823.05+11164.84+1782.04+5291.46+575.57+101363.12+265699.58+5.66+21.71+43.45</f>
        <v>3094622.58</v>
      </c>
    </row>
    <row r="11" spans="1:3" x14ac:dyDescent="0.2">
      <c r="A11" t="s">
        <v>773</v>
      </c>
      <c r="B11" s="176">
        <f>21313.88+179524.14</f>
        <v>200838.02000000002</v>
      </c>
      <c r="C11" s="176">
        <f>1750+109147.9+1082.97+3807+75.96+462.36+60.66+371.46+139.11+43.45+1764.83+11780.15+2866.19+22060.99</f>
        <v>155413.03</v>
      </c>
    </row>
    <row r="12" spans="1:3" x14ac:dyDescent="0.2">
      <c r="A12" t="s">
        <v>774</v>
      </c>
      <c r="B12" s="176">
        <f>3000+27127.08+54226.27+38649.35+38111.22+1280+8660+68124.29+43068</f>
        <v>282246.21000000002</v>
      </c>
      <c r="C12" s="176">
        <f>229.5+661.26+3290.14+251.39+1496.57+2637+527.45+2939.16+2875.06+905.01+1026.76+4014.63+2417.98+1996.52+1503+110.37</f>
        <v>26881.8</v>
      </c>
    </row>
    <row r="13" spans="1:3" x14ac:dyDescent="0.2">
      <c r="A13" t="str">
        <f>IF(B9=B13,IF(C9=C13,"Check Total OK","Check Total Error"),"Check Total Error")</f>
        <v>Check Total OK</v>
      </c>
      <c r="B13" s="168">
        <f>SUM(B10:B12)</f>
        <v>5685711.9699999997</v>
      </c>
      <c r="C13" s="168">
        <f>SUM(C10:C12)</f>
        <v>3276917.4099999997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2866107.7600000002</v>
      </c>
      <c r="C18" s="166">
        <f>'DOE25'!G199+'DOE25'!G217+'DOE25'!G235+'DOE25'!G278+'DOE25'!G297+'DOE25'!G316</f>
        <v>1677752.3699999999</v>
      </c>
    </row>
    <row r="19" spans="1:3" x14ac:dyDescent="0.2">
      <c r="A19" t="s">
        <v>772</v>
      </c>
      <c r="B19" s="176">
        <f>49943.72+182000+270004+264912.41+35786.93+229954+51385+23858.07+121053.04</f>
        <v>1228897.1700000002</v>
      </c>
      <c r="C19" s="176">
        <f>11415.96+31847.46+61926.07+443+1293+2141.54+68.99+252.53+362.75+95.96+380.13+381.52+2.29+522.98+3721.84+13593.75+19687.25+9809.04+35744.88+53084.81+73947.36+31659.53+71587.43+2848.43+344.12+405.79+106.41+19258.2+52452.91+55025.96+11415.96+2072.4+443+229.05+71.76+289.89+96.17+31.57+1.66+16885.04+3832.02+45163.97+10092.05+6382.38</f>
        <v>651418.81000000006</v>
      </c>
    </row>
    <row r="20" spans="1:3" x14ac:dyDescent="0.2">
      <c r="A20" t="s">
        <v>773</v>
      </c>
      <c r="B20" s="176">
        <f>266606.54+82098.6+302584.38+83182.04+199689.12+405224.75</f>
        <v>1339385.4300000002</v>
      </c>
      <c r="C20" s="176">
        <f>45002.92+90322.49+142900.25+1948.53+4161.89+5480.66+231.84+469.44+782.3+186.48+376.46+627.69+77.71+82.36+166.34+5916.79+14339.89+29984.42+11219.39+26983.02+54448.87+185413.72+16026+659.67+518.87+140.88+21476.98+40941.25+111228.5+52257.96+3713.37+2210.97+733.69+220.92+589.16+177.66+0.11+230.26+143.53+332.21+19122.04+5444.26+35872.12+11073.05+12807.96+841.76+6538.6</f>
        <v>964425.24000000011</v>
      </c>
    </row>
    <row r="21" spans="1:3" x14ac:dyDescent="0.2">
      <c r="A21" t="s">
        <v>774</v>
      </c>
      <c r="B21" s="176">
        <f>166709.96+45607.2+85508</f>
        <v>297825.15999999997</v>
      </c>
      <c r="C21" s="176">
        <f>48334.95+13573.37</f>
        <v>61908.32</v>
      </c>
    </row>
    <row r="22" spans="1:3" x14ac:dyDescent="0.2">
      <c r="A22" t="str">
        <f>IF(B18=B22,IF(C18=C22,"Check Total OK","Check Total Error"),"Check Total Error")</f>
        <v>Check Total OK</v>
      </c>
      <c r="B22" s="168">
        <f>SUM(B19:B21)</f>
        <v>2866107.7600000007</v>
      </c>
      <c r="C22" s="168">
        <f>SUM(C19:C21)</f>
        <v>1677752.3700000003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514114.12</v>
      </c>
      <c r="C27" s="171">
        <f>'DOE25'!G200+'DOE25'!G218+'DOE25'!G236+'DOE25'!G279+'DOE25'!G298+'DOE25'!G317</f>
        <v>296760.32000000001</v>
      </c>
    </row>
    <row r="28" spans="1:3" x14ac:dyDescent="0.2">
      <c r="A28" t="s">
        <v>772</v>
      </c>
      <c r="B28" s="176">
        <f>488084.3+4800</f>
        <v>492884.3</v>
      </c>
      <c r="C28" s="176">
        <f>1152.8+146104.28+4331.82+662.53+742.66+213.14+34420.44+86683.73</f>
        <v>274311.40000000002</v>
      </c>
    </row>
    <row r="29" spans="1:3" x14ac:dyDescent="0.2">
      <c r="A29" t="s">
        <v>773</v>
      </c>
      <c r="B29" s="176">
        <v>21229.82</v>
      </c>
      <c r="C29" s="176">
        <f>20421+660.24+67.68+54.18+1245.82</f>
        <v>22448.920000000002</v>
      </c>
    </row>
    <row r="30" spans="1:3" x14ac:dyDescent="0.2">
      <c r="A30" t="s">
        <v>774</v>
      </c>
      <c r="B30" s="176">
        <v>0</v>
      </c>
      <c r="C30" s="176">
        <v>0</v>
      </c>
    </row>
    <row r="31" spans="1:3" x14ac:dyDescent="0.2">
      <c r="A31" t="str">
        <f>IF(B27=B31,IF(C27=C31,"Check Total OK","Check Total Error"),"Check Total Error")</f>
        <v>Check Total OK</v>
      </c>
      <c r="B31" s="168">
        <f>SUM(B28:B30)</f>
        <v>514114.12</v>
      </c>
      <c r="C31" s="168">
        <f>SUM(C28:C30)</f>
        <v>296760.32000000001</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359808.03000000009</v>
      </c>
      <c r="C36" s="172">
        <f>'DOE25'!G201+'DOE25'!G219+'DOE25'!G237+'DOE25'!G280+'DOE25'!G299+'DOE25'!G318</f>
        <v>93335.83</v>
      </c>
    </row>
    <row r="37" spans="1:3" x14ac:dyDescent="0.2">
      <c r="A37" t="s">
        <v>772</v>
      </c>
      <c r="B37" s="176">
        <v>0</v>
      </c>
      <c r="C37" s="176">
        <v>0</v>
      </c>
    </row>
    <row r="38" spans="1:3" x14ac:dyDescent="0.2">
      <c r="A38" t="s">
        <v>773</v>
      </c>
      <c r="B38" s="176">
        <v>0</v>
      </c>
      <c r="C38" s="176">
        <v>0</v>
      </c>
    </row>
    <row r="39" spans="1:3" x14ac:dyDescent="0.2">
      <c r="A39" t="s">
        <v>774</v>
      </c>
      <c r="B39" s="176">
        <f>107548+27302+36770+1800+150+159989.03+8362+17887</f>
        <v>359808.03</v>
      </c>
      <c r="C39" s="176">
        <f>137.7+8868.91+39.59+49487.63+2146.19+4263.13+6928.19+21464.47+0.02</f>
        <v>93335.83</v>
      </c>
    </row>
    <row r="40" spans="1:3" x14ac:dyDescent="0.2">
      <c r="A40" t="str">
        <f>IF(B36=B40,IF(C36=C40,"Check Total OK","Check Total Error"),"Check Total Error")</f>
        <v>Check Total OK</v>
      </c>
      <c r="B40" s="168">
        <f>SUM(B37:B39)</f>
        <v>359808.03</v>
      </c>
      <c r="C40" s="168">
        <f>SUM(C37:C39)</f>
        <v>93335.83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Somersworth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17558915.360000003</v>
      </c>
      <c r="D5" s="19">
        <f>SUM('DOE25'!L198:L201)+SUM('DOE25'!L216:L219)+SUM('DOE25'!L234:L237)-F5-G5-H5</f>
        <v>17483784.660000004</v>
      </c>
      <c r="E5" s="179"/>
      <c r="F5" s="180">
        <v>10829.66</v>
      </c>
      <c r="G5" s="19">
        <f>SUM('DOE25'!J198:J201)+SUM('DOE25'!J216:J219)+SUM('DOE25'!J234:J237)</f>
        <v>54752.889999999992</v>
      </c>
      <c r="H5" s="19">
        <f>SUM('DOE25'!K198:K201)+SUM('DOE25'!K216:K219)+SUM('DOE25'!K234:K237)</f>
        <v>9548.15</v>
      </c>
      <c r="I5" s="191"/>
    </row>
    <row r="6" spans="1:9" x14ac:dyDescent="0.2">
      <c r="A6" s="31">
        <v>2100</v>
      </c>
      <c r="B6" t="s">
        <v>793</v>
      </c>
      <c r="C6" s="205">
        <f t="shared" si="0"/>
        <v>1707328.5299999998</v>
      </c>
      <c r="D6" s="19">
        <f>'DOE25'!L203+'DOE25'!L221+'DOE25'!L239-F6-G6-H6</f>
        <v>1304229.93</v>
      </c>
      <c r="E6" s="179"/>
      <c r="F6" s="180">
        <f>83835.88+57844.5+247554.6</f>
        <v>389234.98</v>
      </c>
      <c r="G6" s="19">
        <f>'DOE25'!J203+'DOE25'!J221+'DOE25'!J239</f>
        <v>465.99</v>
      </c>
      <c r="H6" s="19">
        <f>'DOE25'!K203+'DOE25'!K221+'DOE25'!K239</f>
        <v>13397.630000000001</v>
      </c>
      <c r="I6" s="191"/>
    </row>
    <row r="7" spans="1:9" x14ac:dyDescent="0.2">
      <c r="A7" s="31">
        <v>2200</v>
      </c>
      <c r="B7" t="s">
        <v>817</v>
      </c>
      <c r="C7" s="205">
        <f t="shared" si="0"/>
        <v>460404.5</v>
      </c>
      <c r="D7" s="19">
        <f>'DOE25'!L204+'DOE25'!L222+'DOE25'!L240-F7-G7-H7</f>
        <v>458747.24</v>
      </c>
      <c r="E7" s="179"/>
      <c r="F7" s="180">
        <v>0</v>
      </c>
      <c r="G7" s="19">
        <f>'DOE25'!J204+'DOE25'!J222+'DOE25'!J240</f>
        <v>1470.26</v>
      </c>
      <c r="H7" s="19">
        <f>'DOE25'!K204+'DOE25'!K222+'DOE25'!K240</f>
        <v>187</v>
      </c>
      <c r="I7" s="191"/>
    </row>
    <row r="8" spans="1:9" x14ac:dyDescent="0.2">
      <c r="A8" s="31">
        <v>2300</v>
      </c>
      <c r="B8" t="s">
        <v>794</v>
      </c>
      <c r="C8" s="205">
        <f t="shared" si="0"/>
        <v>1275746.47</v>
      </c>
      <c r="D8" s="179"/>
      <c r="E8" s="19">
        <f>'DOE25'!L205+'DOE25'!L223+'DOE25'!L241-F8-G8-H8-D9-D11</f>
        <v>1229189.47</v>
      </c>
      <c r="F8" s="180">
        <f>24309.37</f>
        <v>24309.37</v>
      </c>
      <c r="G8" s="19">
        <f>'DOE25'!J205+'DOE25'!J223+'DOE25'!J241</f>
        <v>5335.95</v>
      </c>
      <c r="H8" s="19">
        <f>'DOE25'!K205+'DOE25'!K223+'DOE25'!K241</f>
        <v>16911.68</v>
      </c>
      <c r="I8" s="191"/>
    </row>
    <row r="9" spans="1:9" ht="14.25" x14ac:dyDescent="0.2">
      <c r="A9" s="31">
        <v>2310</v>
      </c>
      <c r="B9" s="71" t="s">
        <v>884</v>
      </c>
      <c r="C9" s="205">
        <f t="shared" si="0"/>
        <v>18731.3</v>
      </c>
      <c r="D9" s="180">
        <v>18731.3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2130463.6599999997</v>
      </c>
      <c r="D12" s="19">
        <f>'DOE25'!L206+'DOE25'!L224+'DOE25'!L242-F12-G12-H12</f>
        <v>2072734.3799999997</v>
      </c>
      <c r="E12" s="179"/>
      <c r="F12" s="180">
        <v>0</v>
      </c>
      <c r="G12" s="19">
        <f>'DOE25'!J206+'DOE25'!J224+'DOE25'!J242</f>
        <v>47396.280000000006</v>
      </c>
      <c r="H12" s="19">
        <f>'DOE25'!K206+'DOE25'!K224+'DOE25'!K242</f>
        <v>10333</v>
      </c>
      <c r="I12" s="191"/>
    </row>
    <row r="13" spans="1:9" x14ac:dyDescent="0.2">
      <c r="A13" s="31">
        <v>2500</v>
      </c>
      <c r="B13" t="s">
        <v>795</v>
      </c>
      <c r="C13" s="205">
        <f t="shared" si="0"/>
        <v>0</v>
      </c>
      <c r="D13" s="179"/>
      <c r="E13" s="19">
        <f>'DOE25'!L207+'DOE25'!L225+'DOE25'!L243-F13-G13-H13</f>
        <v>0</v>
      </c>
      <c r="F13" s="180">
        <v>0</v>
      </c>
      <c r="G13" s="19">
        <f>'DOE25'!J207+'DOE25'!J225+'DOE25'!J243</f>
        <v>0</v>
      </c>
      <c r="H13" s="19">
        <f>'DOE25'!K207+'DOE25'!K225+'DOE25'!K243</f>
        <v>0</v>
      </c>
      <c r="I13" s="191"/>
    </row>
    <row r="14" spans="1:9" x14ac:dyDescent="0.2">
      <c r="A14" s="31">
        <v>2600</v>
      </c>
      <c r="B14" t="s">
        <v>815</v>
      </c>
      <c r="C14" s="205">
        <f t="shared" si="0"/>
        <v>3256010.59</v>
      </c>
      <c r="D14" s="19">
        <f>'DOE25'!L208+'DOE25'!L226+'DOE25'!L244-F14-G14-H14</f>
        <v>2753848.48</v>
      </c>
      <c r="E14" s="179"/>
      <c r="F14" s="180">
        <f>1498+9583+21813.16+38335+396917.84</f>
        <v>468147</v>
      </c>
      <c r="G14" s="19">
        <f>'DOE25'!J208+'DOE25'!J226+'DOE25'!J244</f>
        <v>34015.11</v>
      </c>
      <c r="H14" s="19">
        <f>'DOE25'!K208+'DOE25'!K226+'DOE25'!K244</f>
        <v>0</v>
      </c>
      <c r="I14" s="191"/>
    </row>
    <row r="15" spans="1:9" x14ac:dyDescent="0.2">
      <c r="A15" s="31">
        <v>2700</v>
      </c>
      <c r="B15" t="s">
        <v>796</v>
      </c>
      <c r="C15" s="205">
        <f t="shared" si="0"/>
        <v>1714663.62</v>
      </c>
      <c r="D15" s="19">
        <f>'DOE25'!L209+'DOE25'!L227+'DOE25'!L245-F15-G15-H15</f>
        <v>118674.91000000015</v>
      </c>
      <c r="E15" s="179"/>
      <c r="F15" s="180">
        <f>1494646.93+60541.78+40800</f>
        <v>1595988.71</v>
      </c>
      <c r="G15" s="19">
        <f>'DOE25'!J209+'DOE25'!J227+'DOE25'!J245</f>
        <v>0</v>
      </c>
      <c r="H15" s="19">
        <f>'DOE25'!K209+'DOE25'!K227+'DOE25'!K245</f>
        <v>0</v>
      </c>
      <c r="I15" s="191"/>
    </row>
    <row r="16" spans="1:9" x14ac:dyDescent="0.2">
      <c r="A16" s="31">
        <v>2800</v>
      </c>
      <c r="B16" t="s">
        <v>797</v>
      </c>
      <c r="C16" s="205">
        <f t="shared" si="0"/>
        <v>686338.41999999993</v>
      </c>
      <c r="D16" s="179"/>
      <c r="E16" s="19">
        <f>'DOE25'!L210+'DOE25'!L228+'DOE25'!L246-F16-G16-H16</f>
        <v>193396.04999999987</v>
      </c>
      <c r="F16" s="180">
        <f>116390.82+63500</f>
        <v>179890.82</v>
      </c>
      <c r="G16" s="19">
        <f>'DOE25'!J210+'DOE25'!J228+'DOE25'!J246</f>
        <v>313051.55000000005</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2240344.2999999998</v>
      </c>
      <c r="D22" s="179"/>
      <c r="E22" s="179"/>
      <c r="F22" s="179"/>
      <c r="G22" s="19">
        <f>'DOE25'!L256+'DOE25'!L337</f>
        <v>2240344.2999999998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1829243.8599999999</v>
      </c>
      <c r="D25" s="179"/>
      <c r="E25" s="179"/>
      <c r="F25" s="190"/>
      <c r="G25" s="179"/>
      <c r="H25" s="179"/>
      <c r="I25" s="189">
        <f>'DOE25'!L261+'DOE25'!L262+'DOE25'!L342+'DOE25'!L343</f>
        <v>1829243.8599999999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811763.06000000029</v>
      </c>
      <c r="D29" s="211">
        <f>'DOE25'!L359+'DOE25'!L360+'DOE25'!L361-'DOE25'!I368-F29-G29-H29-F39</f>
        <v>635874.78000000026</v>
      </c>
      <c r="E29" s="179"/>
      <c r="F29" s="179"/>
      <c r="G29" s="19">
        <f>'DOE25'!J359+'DOE25'!J360+'DOE25'!J361</f>
        <v>175888.28</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2001178.98</v>
      </c>
      <c r="D31" s="19">
        <f>'DOE25'!L291+'DOE25'!L310+'DOE25'!L329+'DOE25'!L334+'DOE25'!L335+'DOE25'!L336-F31-G31-H31</f>
        <v>1888360.3900000001</v>
      </c>
      <c r="E31" s="179"/>
      <c r="F31" s="180">
        <v>0</v>
      </c>
      <c r="G31" s="19">
        <f>'DOE25'!J291+'DOE25'!J310+'DOE25'!J329+'DOE25'!J334+'DOE25'!J335+'DOE25'!J336</f>
        <v>67540.649999999994</v>
      </c>
      <c r="H31" s="19">
        <f>'DOE25'!K291+'DOE25'!K310+'DOE25'!K329+'DOE25'!K334+'DOE25'!K335+'DOE25'!K336</f>
        <v>45277.94</v>
      </c>
      <c r="I31" s="191"/>
    </row>
    <row r="32" spans="1:9" ht="12" thickBot="1" x14ac:dyDescent="0.25">
      <c r="C32" s="206"/>
      <c r="G32" s="187"/>
      <c r="H32" s="187"/>
      <c r="I32" s="193"/>
    </row>
    <row r="33" spans="1:9" ht="12" thickTop="1" x14ac:dyDescent="0.2">
      <c r="B33" t="s">
        <v>806</v>
      </c>
      <c r="D33" s="181">
        <f t="shared" ref="D33:I33" si="1">SUM(D5:D31)</f>
        <v>26734986.070000004</v>
      </c>
      <c r="E33" s="181">
        <f t="shared" si="1"/>
        <v>1422585.5199999998</v>
      </c>
      <c r="F33" s="181">
        <f t="shared" si="1"/>
        <v>2668400.5399999996</v>
      </c>
      <c r="G33" s="181">
        <f t="shared" si="1"/>
        <v>2940261.26</v>
      </c>
      <c r="H33" s="181">
        <f t="shared" si="1"/>
        <v>95655.4</v>
      </c>
      <c r="I33" s="181">
        <f t="shared" si="1"/>
        <v>1829243.8599999999</v>
      </c>
    </row>
    <row r="34" spans="1:9" ht="12" thickBot="1" x14ac:dyDescent="0.25"/>
    <row r="35" spans="1:9" ht="12" thickBot="1" x14ac:dyDescent="0.25">
      <c r="B35" s="187" t="s">
        <v>827</v>
      </c>
      <c r="D35" s="188">
        <f>E33</f>
        <v>1422585.5199999998</v>
      </c>
      <c r="E35" s="184"/>
      <c r="F35" s="294" t="s">
        <v>1596</v>
      </c>
      <c r="G35" s="295"/>
      <c r="H35" s="295"/>
      <c r="I35" s="296"/>
    </row>
    <row r="36" spans="1:9" ht="12" thickTop="1" x14ac:dyDescent="0.2">
      <c r="B36" t="s">
        <v>807</v>
      </c>
      <c r="D36" s="19">
        <f>D33</f>
        <v>26734986.070000004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289464.90999999997</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C1" zoomScale="75" zoomScaleNormal="75"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Somersworth</v>
      </c>
      <c r="B2">
        <f>'DOE25'!B2</f>
        <v>491</v>
      </c>
      <c r="J2" s="223" t="s">
        <v>1799</v>
      </c>
      <c r="K2" s="308">
        <f>SUM('DOE25'!L198:L201)+SUM('DOE25'!L277:L280)</f>
        <v>8425469.2300000023</v>
      </c>
      <c r="L2" s="308">
        <f>'DOE25'!L203+'DOE25'!L282</f>
        <v>995281.94000000006</v>
      </c>
      <c r="M2" s="308">
        <f>'DOE25'!L204+'DOE25'!L283</f>
        <v>259967.52000000002</v>
      </c>
      <c r="N2" s="308">
        <f>'DOE25'!L206+'DOE25'!L285</f>
        <v>829245.50999999989</v>
      </c>
      <c r="O2" s="316">
        <f>'Salaries-Benefits'!B10+'Salaries-Benefits'!B12+'Salaries-Benefits'!B19+'Salaries-Benefits'!B21+'Salaries-Benefits'!B28+'Salaries-Benefits'!B30+'Salaries-Benefits'!B37+'Salaries-Benefits'!B39</f>
        <v>7864288.6100000003</v>
      </c>
      <c r="P2" s="316">
        <f>'Salaries-Benefits'!B11+'Salaries-Benefits'!B20+'Salaries-Benefits'!B29+'Salaries-Benefits'!B38</f>
        <v>1561453.2700000003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13714121.98</v>
      </c>
      <c r="G4" s="228">
        <f>'DOE25'!L212+'DOE25'!L291</f>
        <v>13714121.980000002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643520.81999999995</v>
      </c>
      <c r="E5" s="219">
        <v>0</v>
      </c>
      <c r="F5" s="231">
        <f>D5+E5</f>
        <v>643520.81999999995</v>
      </c>
      <c r="G5" s="222"/>
      <c r="H5" s="222"/>
      <c r="J5" s="71" t="s">
        <v>1840</v>
      </c>
      <c r="K5" s="20">
        <v>0</v>
      </c>
      <c r="L5" s="20">
        <v>0</v>
      </c>
      <c r="M5" s="20">
        <v>0</v>
      </c>
      <c r="N5" s="20">
        <v>0</v>
      </c>
      <c r="O5" s="20">
        <v>0</v>
      </c>
      <c r="P5" s="20">
        <v>0</v>
      </c>
      <c r="Q5" s="20">
        <v>0</v>
      </c>
    </row>
    <row r="6" spans="1:22" x14ac:dyDescent="0.2">
      <c r="A6" t="str" cm="1">
        <f t="array" ref="A6">IFERROR(INDEX('School Tables'!$A$4:$G$365,'School Tables'!$J4,3),"")</f>
        <v>Idlehurst Elementary School</v>
      </c>
      <c r="B6" s="229">
        <f>IFERROR(VLOOKUP(A6,'School Tables'!$C$3:$D$365,2,FALSE),"")</f>
        <v>29202</v>
      </c>
      <c r="C6" s="222" t="str">
        <f>IFERROR(INDEX('School Tables'!$B$3:$B$365,MATCH('School Level Expenditures'!B6,'School Tables'!$D$3:$D$365,0)),"")</f>
        <v>Somersworth</v>
      </c>
      <c r="D6" s="219">
        <f>5286619.68+1596661.89+94.61-152608.24</f>
        <v>6730767.9399999995</v>
      </c>
      <c r="E6" s="219">
        <v>678856.06</v>
      </c>
      <c r="F6" s="231">
        <f t="shared" ref="F6:F20" si="2">D6+E6</f>
        <v>7409624</v>
      </c>
      <c r="G6" s="222"/>
      <c r="H6" s="222"/>
      <c r="J6" t="str">
        <f t="shared" ref="J6:J20" si="3">A6</f>
        <v>Idlehurst Elementary School</v>
      </c>
      <c r="K6" s="20">
        <f>531340.97+3876659.11+116635.21+106275.44+9945.76+94.61</f>
        <v>4640951.1000000006</v>
      </c>
      <c r="L6" s="20">
        <f>498014.35+62371.81+95771.92</f>
        <v>656158.07999999996</v>
      </c>
      <c r="M6" s="307">
        <f>74471.31+11196.55+60190.72</f>
        <v>145858.58000000002</v>
      </c>
      <c r="N6" s="20">
        <f>408802.48+7897.87</f>
        <v>416700.35</v>
      </c>
      <c r="O6" s="20">
        <f>1035269.64+49943.72+270004+72007.04+767+11660.22+40903.78+29226.23+166709.96+3553.5+68130.97+13145.08+460.2+38111.22+36105.87+8.94</f>
        <v>1836007.37</v>
      </c>
      <c r="P6" s="20">
        <f>179524.14+83182.04+405224.75</f>
        <v>667930.92999999993</v>
      </c>
      <c r="Q6" s="20">
        <v>3190.17</v>
      </c>
    </row>
    <row r="7" spans="1:22" x14ac:dyDescent="0.2">
      <c r="A7" t="str" cm="1">
        <f t="array" ref="A7">IFERROR(INDEX('School Tables'!$A$4:$G$365,'School Tables'!$J5,3),"")</f>
        <v>Maple Wood Elementary School</v>
      </c>
      <c r="B7" s="229">
        <f>IFERROR(VLOOKUP(A7,'School Tables'!$C$3:$D$365,2,FALSE),"")</f>
        <v>29203</v>
      </c>
      <c r="C7" s="222" t="str">
        <f>IFERROR(INDEX('School Tables'!$B$3:$B$365,MATCH('School Level Expenditures'!B7,'School Tables'!$D$3:$D$365,0)),"")</f>
        <v>Somersworth</v>
      </c>
      <c r="D7" s="219">
        <f>4133882.98+1415907.71+94.62-490912.58</f>
        <v>5058972.7299999995</v>
      </c>
      <c r="E7" s="219">
        <v>602004.43000000005</v>
      </c>
      <c r="F7" s="231">
        <f t="shared" si="2"/>
        <v>5660977.1599999992</v>
      </c>
      <c r="G7" s="222"/>
      <c r="H7" s="222"/>
      <c r="J7" t="str">
        <f t="shared" si="3"/>
        <v>Maple Wood Elementary School</v>
      </c>
      <c r="K7" s="20">
        <f>471189.17+3106739.03+103431.22+94244.26+8819.83+94.62</f>
        <v>3784518.13</v>
      </c>
      <c r="L7" s="20">
        <f>198883.2+55310.85+84929.81</f>
        <v>339123.86</v>
      </c>
      <c r="M7" s="307">
        <f>50803.24+9929.01+53376.69</f>
        <v>114108.94</v>
      </c>
      <c r="N7" s="20">
        <f>405541.4+7003.76</f>
        <v>412545.16000000003</v>
      </c>
      <c r="O7" s="20">
        <f>182000+1080528.02+49046+680.17+10340.19+36273.16+25917.6+3151.21+60418.03+11656.95+408.1+38649.35+32018.42</f>
        <v>1531087.2</v>
      </c>
      <c r="P7" s="20">
        <f>21313.88+199689.12</f>
        <v>221003</v>
      </c>
      <c r="Q7" s="20">
        <v>10461.66</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12433261.489999998</v>
      </c>
      <c r="E21" s="261">
        <f>SUM(E5:E20)</f>
        <v>1280860.4900000002</v>
      </c>
      <c r="F21" s="216"/>
      <c r="G21" s="216"/>
      <c r="H21" s="216"/>
      <c r="K21" s="262">
        <f t="shared" ref="K21:Q21" si="4">SUM(K5:K20)</f>
        <v>8425469.2300000004</v>
      </c>
      <c r="L21" s="262">
        <f t="shared" si="4"/>
        <v>995281.94</v>
      </c>
      <c r="M21" s="262">
        <f t="shared" si="4"/>
        <v>259967.52000000002</v>
      </c>
      <c r="N21" s="262">
        <f t="shared" si="4"/>
        <v>829245.51</v>
      </c>
      <c r="O21" s="262">
        <f t="shared" si="4"/>
        <v>3367094.5700000003</v>
      </c>
      <c r="P21" s="262">
        <f t="shared" si="4"/>
        <v>888933.92999999993</v>
      </c>
      <c r="Q21" s="262">
        <f t="shared" si="4"/>
        <v>13651.83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4073113.3200000003</v>
      </c>
      <c r="L23" s="19">
        <f>'DOE25'!L221+'DOE25'!L301</f>
        <v>478564.5</v>
      </c>
      <c r="M23" s="19">
        <f>'DOE25'!L222+'DOE25'!L302</f>
        <v>170399.44</v>
      </c>
      <c r="N23" s="19">
        <f>'DOE25'!L224+'DOE25'!L304</f>
        <v>483519.56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6743470.6100000003</v>
      </c>
      <c r="G25" s="228">
        <f>'DOE25'!L230+'DOE25'!L310</f>
        <v>6743470.6100000003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331711.42</v>
      </c>
      <c r="E26" s="219">
        <v>0</v>
      </c>
      <c r="F26" s="231">
        <f>D26+E26</f>
        <v>331711.42</v>
      </c>
      <c r="G26" s="222"/>
      <c r="H26" s="222"/>
      <c r="J26" s="71" t="s">
        <v>1840</v>
      </c>
      <c r="K26" s="315">
        <v>0</v>
      </c>
      <c r="L26" s="315">
        <v>0</v>
      </c>
      <c r="M26" s="315">
        <v>0</v>
      </c>
      <c r="N26" s="315">
        <v>0</v>
      </c>
      <c r="O26" s="315">
        <v>0</v>
      </c>
      <c r="P26" s="315">
        <v>0</v>
      </c>
      <c r="Q26" s="315">
        <v>0</v>
      </c>
    </row>
    <row r="27" spans="1:17" x14ac:dyDescent="0.2">
      <c r="A27" t="str" cm="1">
        <f t="array" ref="A27">IFERROR(INDEX('School Tables'!$L$4:$R$100,'School Tables'!$U4,3),"")</f>
        <v>Somersworth Middle School</v>
      </c>
      <c r="B27" s="229">
        <f>IFERROR(VLOOKUP(A27,'School Tables'!$N$4:$O$100,2,FALSE),"")</f>
        <v>22830</v>
      </c>
      <c r="C27" s="222" t="str">
        <f>IFERROR(INDEX('School Tables'!$M$4:$M$100,MATCH('School Level Expenditures'!A27,'School Tables'!$N$4:$N$100,0)),"")</f>
        <v>Somersworth</v>
      </c>
      <c r="D27" s="219">
        <f>6469929.37-331711.42</f>
        <v>6138217.9500000002</v>
      </c>
      <c r="E27" s="219">
        <v>273541.24</v>
      </c>
      <c r="F27" s="231">
        <f t="shared" ref="F27:F33" si="6">D27+E27</f>
        <v>6411759.1900000004</v>
      </c>
      <c r="G27" s="222"/>
      <c r="H27" s="222"/>
      <c r="J27" t="str">
        <f t="shared" ref="J27:J33" si="7">A27</f>
        <v>Somersworth Middle School</v>
      </c>
      <c r="K27" s="20">
        <f>141724.5+3825821.77+105567.05</f>
        <v>4073113.32</v>
      </c>
      <c r="L27" s="20">
        <f>227465.47+107780.73+84497.83+2140.85+2381.76+35931.44+14207.87+4146.68+11.87</f>
        <v>478564.5</v>
      </c>
      <c r="M27" s="307">
        <f>33862.47+9720.11+10595.45+622.76+53094+42748.53+14901.22+4854.9</f>
        <v>170399.44</v>
      </c>
      <c r="N27" s="20">
        <f>298865.73+167381.66+4031.51+11657.67+137.99+1445</f>
        <v>483519.56</v>
      </c>
      <c r="O27" s="20">
        <f>1351423.05+264912.41+35786.93+8362+17887+689.32+10616.07+37240.94+26609.09+3235.29+62029.99+11967.97+418.99+150+54226.27</f>
        <v>1885555.32</v>
      </c>
      <c r="P27" s="20">
        <v>302584.38</v>
      </c>
      <c r="Q27" s="20">
        <f>3034.7+2077.29+2789.05+267.98</f>
        <v>8169.02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6469929.3700000001</v>
      </c>
      <c r="E34" s="261">
        <f>SUM(E26:E33)</f>
        <v>273541.24</v>
      </c>
      <c r="F34" s="216"/>
      <c r="G34" s="216"/>
      <c r="H34" s="216"/>
      <c r="K34" s="262">
        <f t="shared" ref="K34:Q34" si="8">SUM(K26:K33)</f>
        <v>4073113.32</v>
      </c>
      <c r="L34" s="262">
        <f t="shared" si="8"/>
        <v>478564.5</v>
      </c>
      <c r="M34" s="262">
        <f t="shared" si="8"/>
        <v>170399.44</v>
      </c>
      <c r="N34" s="262">
        <f t="shared" si="8"/>
        <v>483519.56</v>
      </c>
      <c r="O34" s="262">
        <f t="shared" si="8"/>
        <v>1885555.32</v>
      </c>
      <c r="P34" s="262">
        <f t="shared" si="8"/>
        <v>302584.38</v>
      </c>
      <c r="Q34" s="262">
        <f t="shared" si="8"/>
        <v>8169.02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6479058.3300000001</v>
      </c>
      <c r="L36" s="19">
        <f>'DOE25'!L239+'DOE25'!L320</f>
        <v>471906.05</v>
      </c>
      <c r="M36" s="19">
        <f>'DOE25'!L240+'DOE25'!L321</f>
        <v>274139.11</v>
      </c>
      <c r="N36" s="19">
        <f>'DOE25'!L242+'DOE25'!L323</f>
        <v>817698.59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10352188.840000002</v>
      </c>
      <c r="G38" s="228">
        <f>'DOE25'!L248+'DOE25'!L329</f>
        <v>10352188.84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1072395.13+42219.61</f>
        <v>1114614.74</v>
      </c>
      <c r="E39" s="219">
        <v>0</v>
      </c>
      <c r="F39" s="231">
        <f t="shared" ref="F39:F44" si="10">D39+E39</f>
        <v>1114614.74</v>
      </c>
      <c r="G39" s="222"/>
      <c r="H39" s="222"/>
      <c r="J39" s="71" t="s">
        <v>1840</v>
      </c>
      <c r="K39" s="315">
        <v>0</v>
      </c>
      <c r="L39" s="315">
        <v>0</v>
      </c>
      <c r="M39" s="315">
        <v>0</v>
      </c>
      <c r="N39" s="315">
        <v>0</v>
      </c>
      <c r="O39" s="20">
        <v>0</v>
      </c>
      <c r="P39" s="315">
        <v>0</v>
      </c>
      <c r="Q39" s="20">
        <v>0</v>
      </c>
    </row>
    <row r="40" spans="1:17" x14ac:dyDescent="0.2">
      <c r="A40" t="str" cm="1">
        <f t="array" ref="A40">IFERROR(INDEX('School Tables'!$W$4:$AC$120,'School Tables'!$AF4,3),"")</f>
        <v>Somersworth High School</v>
      </c>
      <c r="B40" s="229">
        <f>IFERROR(VLOOKUP(A40,'School Tables'!$Y$4:$Z$120,2,FALSE),"")</f>
        <v>22845</v>
      </c>
      <c r="C40" s="222" t="str">
        <f>IFERROR(INDEX('School Tables'!$X$4:$X$120,MATCH('School Level Expenditures'!A40,'School Tables'!$Y$4:$Y$120,0)),"")</f>
        <v>Somersworth</v>
      </c>
      <c r="D40" s="219">
        <f>9905411.59-1072395.13-42219.61</f>
        <v>8790796.8500000015</v>
      </c>
      <c r="E40" s="219">
        <v>446777.25</v>
      </c>
      <c r="F40" s="231">
        <f t="shared" si="10"/>
        <v>9237574.1000000015</v>
      </c>
      <c r="G40" s="222"/>
      <c r="H40" s="222"/>
      <c r="J40" t="str">
        <f>A40</f>
        <v>Somersworth High School</v>
      </c>
      <c r="K40" s="20">
        <f>6349933.02+32561.12+83795.81+2045.18+10723.2</f>
        <v>6479058.3299999991</v>
      </c>
      <c r="L40" s="20">
        <f>197147.05+94503.56+104186.82+2544.54+465.99+6614.65+43968.74+17385.94+5074.23+14.53</f>
        <v>471906.05</v>
      </c>
      <c r="M40" s="307">
        <f>84391.84+62584.19+36917.88+12854.56+1470.26+187+44436.97+12320.24+18214.11+762.06</f>
        <v>274139.11</v>
      </c>
      <c r="N40" s="20">
        <f>487968.62+254041.83+18980.26+3449.58+47088.3+6170</f>
        <v>817698.59</v>
      </c>
      <c r="O40" s="315">
        <f>1397676.93+229954+51385+23858.07+488084.3+4800+85508+27127.08+27302+107548+854.52+12990.72+45571.15+32561.12+75905.12+512.71</f>
        <v>2611638.7200000002</v>
      </c>
      <c r="P40" s="20">
        <f>266606.54+82098.6+21229.82</f>
        <v>369934.96</v>
      </c>
      <c r="Q40" s="315">
        <f>1789.92+3979.09+1338.13+1711.32+5990.21+4141.4+6786.17</f>
        <v>25736.239999999998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9905411.5900000017</v>
      </c>
      <c r="E45" s="262">
        <f>SUM(E39:E44)</f>
        <v>446777.25</v>
      </c>
      <c r="K45" s="262">
        <f t="shared" ref="K45:P45" si="11">SUM(K39:K44)</f>
        <v>6479058.3299999991</v>
      </c>
      <c r="L45" s="262">
        <f t="shared" si="11"/>
        <v>471906.05</v>
      </c>
      <c r="M45" s="262">
        <f t="shared" si="11"/>
        <v>274139.11</v>
      </c>
      <c r="N45" s="262">
        <f t="shared" si="11"/>
        <v>817698.59</v>
      </c>
      <c r="O45" s="262">
        <f>SUM(O40:O44)</f>
        <v>2611638.7200000002</v>
      </c>
      <c r="P45" s="262">
        <f t="shared" si="11"/>
        <v>369934.96</v>
      </c>
      <c r="Q45" s="262">
        <f>SUM(Q40:Q44)</f>
        <v>25736.239999999998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Somersworth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1807197.36</v>
      </c>
      <c r="D11" s="73">
        <f>'DOE25'!G12</f>
        <v>152958.23000000001</v>
      </c>
      <c r="E11" s="73">
        <f>'DOE25'!H12</f>
        <v>0</v>
      </c>
      <c r="F11" s="73">
        <f>'DOE25'!I12</f>
        <v>0</v>
      </c>
      <c r="G11" s="73">
        <f>'DOE25'!J12</f>
        <v>35885.620000000003</v>
      </c>
      <c r="H11" s="13">
        <f t="shared" si="0"/>
        <v>1996041.2100000002</v>
      </c>
      <c r="I11" s="90"/>
    </row>
    <row r="12" spans="1:9" x14ac:dyDescent="0.2">
      <c r="A12" s="1" t="s">
        <v>143</v>
      </c>
      <c r="B12" s="6">
        <v>140</v>
      </c>
      <c r="C12" s="73">
        <f>'DOE25'!F13</f>
        <v>0</v>
      </c>
      <c r="D12" s="73">
        <f>'DOE25'!G13</f>
        <v>0</v>
      </c>
      <c r="E12" s="73">
        <f>'DOE25'!H13</f>
        <v>1740076.09</v>
      </c>
      <c r="F12" s="73">
        <f>'DOE25'!I13</f>
        <v>0</v>
      </c>
      <c r="G12" s="73">
        <f>'DOE25'!J13</f>
        <v>0</v>
      </c>
      <c r="H12" s="13">
        <f t="shared" si="0"/>
        <v>1740076.09</v>
      </c>
      <c r="I12" s="90"/>
    </row>
    <row r="13" spans="1:9" x14ac:dyDescent="0.2">
      <c r="A13" s="1" t="s">
        <v>144</v>
      </c>
      <c r="B13" s="6">
        <v>150</v>
      </c>
      <c r="C13" s="73">
        <f>'DOE25'!F14</f>
        <v>49307.65</v>
      </c>
      <c r="D13" s="73">
        <f>'DOE25'!G14</f>
        <v>105647.13</v>
      </c>
      <c r="E13" s="73">
        <f>'DOE25'!H14</f>
        <v>0</v>
      </c>
      <c r="F13" s="73">
        <f>'DOE25'!I14</f>
        <v>0</v>
      </c>
      <c r="G13" s="73">
        <f>'DOE25'!J14</f>
        <v>4545</v>
      </c>
      <c r="H13" s="13">
        <f t="shared" si="0"/>
        <v>159499.78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1856505.01</v>
      </c>
      <c r="D18" s="38">
        <f>SUM(D8:D17)</f>
        <v>258605.36000000002</v>
      </c>
      <c r="E18" s="38">
        <f>SUM(E8:E17)</f>
        <v>1740076.09</v>
      </c>
      <c r="F18" s="38">
        <f>SUM(F8:F17)</f>
        <v>0</v>
      </c>
      <c r="G18" s="38">
        <f>SUM(G8:G17)</f>
        <v>40430.620000000003</v>
      </c>
      <c r="H18" s="38">
        <f t="shared" si="0"/>
        <v>3895617.08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188843.85</v>
      </c>
      <c r="D21" s="73">
        <f>'DOE25'!G22</f>
        <v>0</v>
      </c>
      <c r="E21" s="73">
        <f>'DOE25'!H22</f>
        <v>423623.22</v>
      </c>
      <c r="F21" s="73">
        <f>'DOE25'!I22</f>
        <v>0</v>
      </c>
      <c r="G21" s="73">
        <f>'DOE25'!J22</f>
        <v>0</v>
      </c>
      <c r="H21" s="13">
        <f t="shared" ref="H21:H31" si="1">SUM(C21:G21)</f>
        <v>612467.06999999995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1067491.5900000001</v>
      </c>
      <c r="D23" s="73">
        <f>'DOE25'!G24</f>
        <v>151852.79999999999</v>
      </c>
      <c r="E23" s="73">
        <f>'DOE25'!H24</f>
        <v>1282206.04</v>
      </c>
      <c r="F23" s="73">
        <f>'DOE25'!I24</f>
        <v>0</v>
      </c>
      <c r="G23" s="73">
        <f>'DOE25'!J24</f>
        <v>1217.52</v>
      </c>
      <c r="H23" s="13">
        <f t="shared" si="1"/>
        <v>2502767.9500000002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600169.56999999995</v>
      </c>
      <c r="D28" s="73">
        <f>'DOE25'!G29</f>
        <v>0</v>
      </c>
      <c r="E28" s="73">
        <f>'DOE25'!H29</f>
        <v>0</v>
      </c>
      <c r="F28" s="73">
        <f>'DOE25'!I29</f>
        <v>0</v>
      </c>
      <c r="G28" s="23" t="s">
        <v>288</v>
      </c>
      <c r="H28" s="13">
        <f t="shared" si="1"/>
        <v>600169.56999999995</v>
      </c>
      <c r="I28" s="90"/>
    </row>
    <row r="29" spans="1:9" x14ac:dyDescent="0.2">
      <c r="A29" s="1" t="s">
        <v>158</v>
      </c>
      <c r="B29" s="6">
        <v>480</v>
      </c>
      <c r="C29" s="73">
        <f>'DOE25'!F30</f>
        <v>0</v>
      </c>
      <c r="D29" s="73">
        <f>'DOE25'!G30</f>
        <v>20049.98</v>
      </c>
      <c r="E29" s="73">
        <f>'DOE25'!H30</f>
        <v>0</v>
      </c>
      <c r="F29" s="73">
        <f>'DOE25'!I30</f>
        <v>0</v>
      </c>
      <c r="G29" s="23" t="s">
        <v>288</v>
      </c>
      <c r="H29" s="13">
        <f t="shared" si="1"/>
        <v>20049.98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1856505.0100000002</v>
      </c>
      <c r="D31" s="38">
        <f>SUM(D21:D30)</f>
        <v>171902.78</v>
      </c>
      <c r="E31" s="38">
        <f>SUM(E21:E30)</f>
        <v>1705829.26</v>
      </c>
      <c r="F31" s="38">
        <f>SUM(F21:F30)</f>
        <v>0</v>
      </c>
      <c r="G31" s="38">
        <f>SUM(G21:G30)</f>
        <v>1217.52</v>
      </c>
      <c r="H31" s="38">
        <f t="shared" si="1"/>
        <v>3735454.5700000003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86702.58</v>
      </c>
      <c r="E47" s="73">
        <f>'DOE25'!H48</f>
        <v>34246.83</v>
      </c>
      <c r="F47" s="73">
        <f>'DOE25'!I48</f>
        <v>0</v>
      </c>
      <c r="G47" s="73">
        <f>'DOE25'!J48</f>
        <v>39213.1</v>
      </c>
      <c r="H47" s="13">
        <f t="shared" si="2"/>
        <v>160162.51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86702.58</v>
      </c>
      <c r="E50" s="38">
        <f>SUM(E34:E49)</f>
        <v>34246.83</v>
      </c>
      <c r="F50" s="38">
        <f>SUM(F34:F49)</f>
        <v>0</v>
      </c>
      <c r="G50" s="38">
        <f>SUM(G34:G49)</f>
        <v>39213.1</v>
      </c>
      <c r="H50" s="38">
        <f t="shared" si="2"/>
        <v>160162.51</v>
      </c>
      <c r="I50" s="90"/>
    </row>
    <row r="51" spans="1:9" ht="12" thickTop="1" x14ac:dyDescent="0.2">
      <c r="A51" s="35" t="s">
        <v>881</v>
      </c>
      <c r="B51" s="2"/>
      <c r="C51" s="38">
        <f>C50+C31</f>
        <v>1856505.0100000002</v>
      </c>
      <c r="D51" s="38">
        <f>D50+D31</f>
        <v>258605.36</v>
      </c>
      <c r="E51" s="38">
        <f>E50+E31</f>
        <v>1740076.09</v>
      </c>
      <c r="F51" s="38">
        <f>F50+F31</f>
        <v>0</v>
      </c>
      <c r="G51" s="38">
        <f>G50+G31</f>
        <v>40430.619999999995</v>
      </c>
      <c r="H51" s="38">
        <f t="shared" si="2"/>
        <v>3895617.08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17648707.02</v>
      </c>
      <c r="D56" s="73">
        <f>'DOE25'!G60</f>
        <v>0</v>
      </c>
      <c r="E56" s="73">
        <f>'DOE25'!H60</f>
        <v>0</v>
      </c>
      <c r="F56" s="73">
        <f>'DOE25'!I60</f>
        <v>0</v>
      </c>
      <c r="G56" s="73">
        <f>'DOE25'!J60</f>
        <v>0</v>
      </c>
      <c r="H56" s="13">
        <f t="shared" ref="H56:H63" si="3">SUM(C56:G56)</f>
        <v>17648707.02</v>
      </c>
      <c r="I56"/>
    </row>
    <row r="57" spans="1:9" x14ac:dyDescent="0.2">
      <c r="A57" s="1" t="s">
        <v>164</v>
      </c>
      <c r="B57" s="6" t="s">
        <v>165</v>
      </c>
      <c r="C57" s="73">
        <f>'DOE25'!F79</f>
        <v>86897.82</v>
      </c>
      <c r="D57" s="23" t="s">
        <v>288</v>
      </c>
      <c r="E57" s="73">
        <f>'DOE25'!H79</f>
        <v>6049.6</v>
      </c>
      <c r="F57" s="23" t="s">
        <v>288</v>
      </c>
      <c r="G57" s="23" t="s">
        <v>288</v>
      </c>
      <c r="H57" s="13">
        <f t="shared" si="3"/>
        <v>92947.420000000013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310872.25999999995</v>
      </c>
      <c r="E60" s="23" t="s">
        <v>288</v>
      </c>
      <c r="F60" s="23" t="s">
        <v>288</v>
      </c>
      <c r="G60" s="23" t="s">
        <v>288</v>
      </c>
      <c r="H60" s="13">
        <f t="shared" si="3"/>
        <v>310872.25999999995</v>
      </c>
      <c r="I60"/>
    </row>
    <row r="61" spans="1:9" ht="12" thickBot="1" x14ac:dyDescent="0.25">
      <c r="A61" s="1" t="s">
        <v>172</v>
      </c>
      <c r="B61" s="22" t="s">
        <v>173</v>
      </c>
      <c r="C61" s="73">
        <f>SUM('DOE25'!F98:F110)</f>
        <v>413981.02999999997</v>
      </c>
      <c r="D61" s="73">
        <f>SUM('DOE25'!G98:G110)</f>
        <v>20961.07</v>
      </c>
      <c r="E61" s="73">
        <f>SUM('DOE25'!H98:H110)</f>
        <v>0</v>
      </c>
      <c r="F61" s="73">
        <f>SUM('DOE25'!I98:I110)</f>
        <v>0</v>
      </c>
      <c r="G61" s="73">
        <f>SUM('DOE25'!J98:J110)</f>
        <v>106873.93</v>
      </c>
      <c r="H61" s="13">
        <f t="shared" si="3"/>
        <v>541816.03</v>
      </c>
      <c r="I61"/>
    </row>
    <row r="62" spans="1:9" ht="12.75" thickTop="1" thickBot="1" x14ac:dyDescent="0.25">
      <c r="A62" s="28" t="s">
        <v>174</v>
      </c>
      <c r="B62" s="6"/>
      <c r="C62" s="93">
        <f>SUM(C57:C61)</f>
        <v>500878.85</v>
      </c>
      <c r="D62" s="93">
        <f>SUM(D57:D61)</f>
        <v>331833.32999999996</v>
      </c>
      <c r="E62" s="93">
        <f>SUM(E57:E61)</f>
        <v>6049.6</v>
      </c>
      <c r="F62" s="93">
        <f>SUM(F57:F61)</f>
        <v>0</v>
      </c>
      <c r="G62" s="93">
        <f>SUM(G57:G61)</f>
        <v>106873.93</v>
      </c>
      <c r="H62" s="13">
        <f t="shared" si="3"/>
        <v>945635.71</v>
      </c>
      <c r="I62"/>
    </row>
    <row r="63" spans="1:9" ht="12" thickTop="1" x14ac:dyDescent="0.2">
      <c r="A63" s="28" t="s">
        <v>175</v>
      </c>
      <c r="B63" s="6"/>
      <c r="C63" s="21">
        <f>C56+C62</f>
        <v>18149585.870000001</v>
      </c>
      <c r="D63" s="21">
        <f>D56+D62</f>
        <v>331833.32999999996</v>
      </c>
      <c r="E63" s="21">
        <f>E56+E62</f>
        <v>6049.6</v>
      </c>
      <c r="F63" s="21">
        <f>F56+F62</f>
        <v>0</v>
      </c>
      <c r="G63" s="21">
        <f>G56+G62</f>
        <v>106873.93</v>
      </c>
      <c r="H63" s="13">
        <f t="shared" si="3"/>
        <v>18594342.73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9179539.3300000001</v>
      </c>
      <c r="D66" s="23" t="s">
        <v>288</v>
      </c>
      <c r="E66" s="23" t="s">
        <v>288</v>
      </c>
      <c r="F66" s="23" t="s">
        <v>288</v>
      </c>
      <c r="G66" s="23" t="s">
        <v>288</v>
      </c>
      <c r="H66" s="13">
        <f t="shared" ref="H66:H81" si="4">SUM(C66:G66)</f>
        <v>9179539.3300000001</v>
      </c>
      <c r="I66"/>
    </row>
    <row r="67" spans="1:9" x14ac:dyDescent="0.2">
      <c r="A67" s="1" t="s">
        <v>767</v>
      </c>
      <c r="B67" s="6">
        <v>3112</v>
      </c>
      <c r="C67" s="73">
        <f>'DOE25'!F118</f>
        <v>2083220</v>
      </c>
      <c r="D67" s="23"/>
      <c r="E67" s="23"/>
      <c r="F67" s="23"/>
      <c r="G67" s="23"/>
      <c r="H67" s="13">
        <f t="shared" si="4"/>
        <v>2083220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20280.38</v>
      </c>
      <c r="D69" s="73">
        <f>'DOE25'!G120</f>
        <v>42084.15</v>
      </c>
      <c r="E69" s="73">
        <f>'DOE25'!H120</f>
        <v>0</v>
      </c>
      <c r="F69" s="73">
        <f>'DOE25'!I120</f>
        <v>0</v>
      </c>
      <c r="G69" s="73">
        <f>'DOE25'!J120</f>
        <v>0</v>
      </c>
      <c r="H69" s="13">
        <f t="shared" si="4"/>
        <v>62364.53</v>
      </c>
      <c r="I69"/>
    </row>
    <row r="70" spans="1:9" ht="12" thickTop="1" x14ac:dyDescent="0.2">
      <c r="A70" s="28" t="s">
        <v>252</v>
      </c>
      <c r="B70" s="2"/>
      <c r="C70" s="97">
        <f>SUM(C66:C69)</f>
        <v>11283039.710000001</v>
      </c>
      <c r="D70" s="97">
        <f>D69</f>
        <v>42084.15</v>
      </c>
      <c r="E70" s="97">
        <f>E69</f>
        <v>0</v>
      </c>
      <c r="F70" s="97">
        <f>F69</f>
        <v>0</v>
      </c>
      <c r="G70" s="97">
        <f>G69</f>
        <v>0</v>
      </c>
      <c r="H70" s="13">
        <f t="shared" si="4"/>
        <v>11325123.860000001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471201.24</v>
      </c>
      <c r="D72" s="23" t="s">
        <v>288</v>
      </c>
      <c r="E72" s="23" t="s">
        <v>288</v>
      </c>
      <c r="F72" s="73">
        <f>'DOE25'!I123</f>
        <v>0</v>
      </c>
      <c r="G72" s="23" t="s">
        <v>288</v>
      </c>
      <c r="H72" s="13">
        <f t="shared" si="4"/>
        <v>471201.24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489641.04</v>
      </c>
      <c r="D75" s="23" t="s">
        <v>288</v>
      </c>
      <c r="E75" s="23" t="s">
        <v>288</v>
      </c>
      <c r="F75" s="23" t="s">
        <v>288</v>
      </c>
      <c r="G75" s="23" t="s">
        <v>288</v>
      </c>
      <c r="H75" s="13">
        <f t="shared" si="4"/>
        <v>489641.04</v>
      </c>
      <c r="I75"/>
    </row>
    <row r="76" spans="1:9" x14ac:dyDescent="0.2">
      <c r="A76" s="1" t="s">
        <v>257</v>
      </c>
      <c r="B76" s="6" t="s">
        <v>179</v>
      </c>
      <c r="C76" s="73">
        <f>SUM('DOE25'!F127:F130)</f>
        <v>19421.599999999999</v>
      </c>
      <c r="D76" s="23" t="s">
        <v>288</v>
      </c>
      <c r="E76" s="73">
        <f>SUM('DOE25'!H127:H130)</f>
        <v>0</v>
      </c>
      <c r="F76" s="73">
        <f>SUM('DOE25'!I127:I130)</f>
        <v>0</v>
      </c>
      <c r="G76" s="23" t="s">
        <v>288</v>
      </c>
      <c r="H76" s="13">
        <f t="shared" si="4"/>
        <v>19421.599999999999</v>
      </c>
      <c r="I76"/>
    </row>
    <row r="77" spans="1:9" ht="12" thickBot="1" x14ac:dyDescent="0.25">
      <c r="A77" s="1" t="s">
        <v>258</v>
      </c>
      <c r="B77" s="6" t="s">
        <v>180</v>
      </c>
      <c r="C77" s="73">
        <f>SUM('DOE25'!F131:F135)</f>
        <v>0</v>
      </c>
      <c r="D77" s="73">
        <f>SUM('DOE25'!G131:G135)</f>
        <v>43356.94</v>
      </c>
      <c r="E77" s="73">
        <f>SUM('DOE25'!H131:H135)</f>
        <v>0</v>
      </c>
      <c r="F77" s="73">
        <f>SUM('DOE25'!I131:I135)</f>
        <v>0</v>
      </c>
      <c r="G77" s="73">
        <f>SUM('DOE25'!J131:J135)</f>
        <v>0</v>
      </c>
      <c r="H77" s="13">
        <f t="shared" si="4"/>
        <v>43356.94</v>
      </c>
      <c r="I77"/>
    </row>
    <row r="78" spans="1:9" ht="12.75" thickTop="1" thickBot="1" x14ac:dyDescent="0.25">
      <c r="A78" s="28" t="s">
        <v>259</v>
      </c>
      <c r="B78" s="6"/>
      <c r="C78" s="93">
        <f>SUM(C72:C77)</f>
        <v>980263.88</v>
      </c>
      <c r="D78" s="93">
        <f>SUM(D72:D77)</f>
        <v>43356.94</v>
      </c>
      <c r="E78" s="93">
        <f>SUM(E72:E77)</f>
        <v>0</v>
      </c>
      <c r="F78" s="93">
        <f>SUM(F72:F77)</f>
        <v>0</v>
      </c>
      <c r="G78" s="93">
        <f>SUM(G72:G77)</f>
        <v>0</v>
      </c>
      <c r="H78" s="13">
        <f t="shared" si="4"/>
        <v>1023620.8200000001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12263303.590000002</v>
      </c>
      <c r="D81" s="93">
        <f>SUM(D79:D80)+D78+D70</f>
        <v>85441.09</v>
      </c>
      <c r="E81" s="93">
        <f>SUM(E79:E80)+E78+E70</f>
        <v>0</v>
      </c>
      <c r="F81" s="93">
        <f>SUM(F79:F80)+F78+F70</f>
        <v>0</v>
      </c>
      <c r="G81" s="93">
        <f>SUM(G79:G80)+G78+G70</f>
        <v>0</v>
      </c>
      <c r="H81" s="93">
        <f t="shared" si="4"/>
        <v>12348744.680000002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124956.85</v>
      </c>
      <c r="D88" s="252">
        <f>SUM('DOE25'!G153:G162)</f>
        <v>383023.3</v>
      </c>
      <c r="E88" s="252">
        <f>SUM('DOE25'!H153:H162)</f>
        <v>4238490.9700000007</v>
      </c>
      <c r="F88" s="252">
        <f>SUM('DOE25'!I153:I162)</f>
        <v>0</v>
      </c>
      <c r="G88" s="23" t="s">
        <v>288</v>
      </c>
      <c r="H88" s="13">
        <f t="shared" si="5"/>
        <v>4746471.120000001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124956.85</v>
      </c>
      <c r="D91" s="94">
        <f>SUM(D85:D90)</f>
        <v>383023.3</v>
      </c>
      <c r="E91" s="94">
        <f>SUM(E85:E90)</f>
        <v>4238490.9700000007</v>
      </c>
      <c r="F91" s="94">
        <f>SUM(F85:F90)</f>
        <v>0</v>
      </c>
      <c r="G91" s="23" t="s">
        <v>288</v>
      </c>
      <c r="H91" s="13">
        <f t="shared" si="5"/>
        <v>4746471.120000001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30537846.310000002</v>
      </c>
      <c r="D104" s="68">
        <f>D63+D81+D91+D103</f>
        <v>800297.72</v>
      </c>
      <c r="E104" s="68">
        <f>E63+E81+E91+E103</f>
        <v>4244540.57</v>
      </c>
      <c r="F104" s="68">
        <f>F63+F81+F91+F103</f>
        <v>0</v>
      </c>
      <c r="G104" s="68">
        <f>G63+G81+G103</f>
        <v>106873.93</v>
      </c>
      <c r="H104" s="68">
        <f t="shared" si="5"/>
        <v>35689558.530000001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8783338.3500000015</v>
      </c>
      <c r="D109" s="23" t="s">
        <v>288</v>
      </c>
      <c r="E109" s="73">
        <f>('DOE25'!L277)+('DOE25'!L296)+('DOE25'!L315)</f>
        <v>581859.01</v>
      </c>
      <c r="F109" s="23" t="s">
        <v>288</v>
      </c>
      <c r="G109" s="23" t="s">
        <v>288</v>
      </c>
      <c r="H109" s="13">
        <f t="shared" ref="H109:H115" si="6">SUM(C109:G109)</f>
        <v>9365197.3600000013</v>
      </c>
    </row>
    <row r="110" spans="1:8" x14ac:dyDescent="0.2">
      <c r="A110" t="s">
        <v>198</v>
      </c>
      <c r="B110" s="31" t="s">
        <v>199</v>
      </c>
      <c r="C110" s="73">
        <f>('DOE25'!L199)+('DOE25'!L217)+('DOE25'!L235)</f>
        <v>7322679.0099999998</v>
      </c>
      <c r="D110" s="23" t="s">
        <v>288</v>
      </c>
      <c r="E110" s="73">
        <f>('DOE25'!L278)+('DOE25'!L297)+('DOE25'!L316)</f>
        <v>645485.0199999999</v>
      </c>
      <c r="F110" s="23" t="s">
        <v>288</v>
      </c>
      <c r="G110" s="23" t="s">
        <v>288</v>
      </c>
      <c r="H110" s="13">
        <f t="shared" si="6"/>
        <v>7968164.0299999993</v>
      </c>
    </row>
    <row r="111" spans="1:8" x14ac:dyDescent="0.2">
      <c r="A111" t="s">
        <v>200</v>
      </c>
      <c r="B111" s="31" t="s">
        <v>165</v>
      </c>
      <c r="C111" s="73">
        <f>('DOE25'!L200)+('DOE25'!L218)+('DOE25'!L236)</f>
        <v>956276.35000000009</v>
      </c>
      <c r="D111" s="23" t="s">
        <v>288</v>
      </c>
      <c r="E111" s="73">
        <f>('DOE25'!L279)+('DOE25'!L298)+('DOE25'!L317)</f>
        <v>119880.84</v>
      </c>
      <c r="F111" s="23" t="s">
        <v>288</v>
      </c>
      <c r="G111" s="23" t="s">
        <v>288</v>
      </c>
      <c r="H111" s="13">
        <f t="shared" si="6"/>
        <v>1076157.1900000002</v>
      </c>
    </row>
    <row r="112" spans="1:8" x14ac:dyDescent="0.2">
      <c r="A112" t="s">
        <v>201</v>
      </c>
      <c r="B112" s="31" t="s">
        <v>167</v>
      </c>
      <c r="C112" s="73">
        <f>('DOE25'!L201)+('DOE25'!L219)+('DOE25'!L237)</f>
        <v>496621.65</v>
      </c>
      <c r="D112" s="23" t="s">
        <v>288</v>
      </c>
      <c r="E112" s="73">
        <f>+('DOE25'!L280)+('DOE25'!L299)+('DOE25'!L318)</f>
        <v>71500.649999999994</v>
      </c>
      <c r="F112" s="23" t="s">
        <v>288</v>
      </c>
      <c r="G112" s="23" t="s">
        <v>288</v>
      </c>
      <c r="H112" s="13">
        <f t="shared" si="6"/>
        <v>568122.30000000005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17558915.359999999</v>
      </c>
      <c r="D115" s="68">
        <f>SUM(D109:D114)</f>
        <v>0</v>
      </c>
      <c r="E115" s="68">
        <f>SUM(E109:E114)</f>
        <v>1418725.5199999998</v>
      </c>
      <c r="F115" s="68">
        <f>SUM(F109:F114)</f>
        <v>0</v>
      </c>
      <c r="G115" s="68">
        <f>SUM(G109:G114)</f>
        <v>0</v>
      </c>
      <c r="H115" s="68">
        <f t="shared" si="6"/>
        <v>18977640.879999999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1707328.5299999998</v>
      </c>
      <c r="D118" s="23" t="s">
        <v>288</v>
      </c>
      <c r="E118" s="73">
        <f>+('DOE25'!L282)+('DOE25'!L301)+('DOE25'!L320)</f>
        <v>238423.95999999996</v>
      </c>
      <c r="F118" s="23" t="s">
        <v>288</v>
      </c>
      <c r="G118" s="23" t="s">
        <v>288</v>
      </c>
      <c r="H118" s="13">
        <f t="shared" ref="H118:H145" si="7">SUM(C118:G118)</f>
        <v>1945752.4899999998</v>
      </c>
    </row>
    <row r="119" spans="1:8" x14ac:dyDescent="0.2">
      <c r="A119" t="s">
        <v>208</v>
      </c>
      <c r="B119" s="31" t="s">
        <v>209</v>
      </c>
      <c r="C119" s="73">
        <f>('DOE25'!L204)+('DOE25'!L222)+('DOE25'!L240)</f>
        <v>460404.5</v>
      </c>
      <c r="D119" s="23" t="s">
        <v>288</v>
      </c>
      <c r="E119" s="73">
        <f>+('DOE25'!L283)+('DOE25'!L302)+('DOE25'!L321)</f>
        <v>244101.57</v>
      </c>
      <c r="F119" s="23" t="s">
        <v>288</v>
      </c>
      <c r="G119" s="23" t="s">
        <v>288</v>
      </c>
      <c r="H119" s="13">
        <f t="shared" si="7"/>
        <v>704506.07000000007</v>
      </c>
    </row>
    <row r="120" spans="1:8" x14ac:dyDescent="0.2">
      <c r="A120" t="s">
        <v>210</v>
      </c>
      <c r="B120" s="31" t="s">
        <v>211</v>
      </c>
      <c r="C120" s="73">
        <f>('DOE25'!L205)+('DOE25'!L223)+('DOE25'!L241)</f>
        <v>1294477.77</v>
      </c>
      <c r="D120" s="23" t="s">
        <v>288</v>
      </c>
      <c r="E120" s="73">
        <f>+('DOE25'!L284)+('DOE25'!L303)+('DOE25'!L322)</f>
        <v>15636.75</v>
      </c>
      <c r="F120" s="23" t="s">
        <v>288</v>
      </c>
      <c r="G120" s="23" t="s">
        <v>288</v>
      </c>
      <c r="H120" s="13">
        <f t="shared" si="7"/>
        <v>1310114.52</v>
      </c>
    </row>
    <row r="121" spans="1:8" x14ac:dyDescent="0.2">
      <c r="A121" t="s">
        <v>212</v>
      </c>
      <c r="B121" s="31" t="s">
        <v>213</v>
      </c>
      <c r="C121" s="73">
        <f>('DOE25'!L206)+('DOE25'!L224)+('DOE25'!L242)</f>
        <v>2130463.6599999997</v>
      </c>
      <c r="D121" s="23" t="s">
        <v>288</v>
      </c>
      <c r="E121" s="73">
        <f>+('DOE25'!L285)+('DOE25'!L304)+('DOE25'!L323)</f>
        <v>0</v>
      </c>
      <c r="F121" s="23" t="s">
        <v>288</v>
      </c>
      <c r="G121" s="23" t="s">
        <v>288</v>
      </c>
      <c r="H121" s="13">
        <f t="shared" si="7"/>
        <v>2130463.6599999997</v>
      </c>
    </row>
    <row r="122" spans="1:8" x14ac:dyDescent="0.2">
      <c r="A122" t="s">
        <v>214</v>
      </c>
      <c r="B122" s="31" t="s">
        <v>215</v>
      </c>
      <c r="C122" s="73">
        <f>('DOE25'!L207)+('DOE25'!L225)+('DOE25'!L243)</f>
        <v>0</v>
      </c>
      <c r="D122" s="23" t="s">
        <v>288</v>
      </c>
      <c r="E122" s="73">
        <f>+('DOE25'!L286)+('DOE25'!L305)+('DOE25'!L324)</f>
        <v>35004.880000000005</v>
      </c>
      <c r="F122" s="23" t="s">
        <v>288</v>
      </c>
      <c r="G122" s="23" t="s">
        <v>288</v>
      </c>
      <c r="H122" s="13">
        <f t="shared" si="7"/>
        <v>35004.880000000005</v>
      </c>
    </row>
    <row r="123" spans="1:8" x14ac:dyDescent="0.2">
      <c r="A123" t="s">
        <v>216</v>
      </c>
      <c r="B123" s="31" t="s">
        <v>217</v>
      </c>
      <c r="C123" s="73">
        <f>('DOE25'!L208)+('DOE25'!L226)+('DOE25'!L244)</f>
        <v>3256010.59</v>
      </c>
      <c r="D123" s="23" t="s">
        <v>288</v>
      </c>
      <c r="E123" s="73">
        <f>+('DOE25'!L287)+('DOE25'!L306)+('DOE25'!L325)</f>
        <v>0</v>
      </c>
      <c r="F123" s="23" t="s">
        <v>288</v>
      </c>
      <c r="G123" s="23" t="s">
        <v>288</v>
      </c>
      <c r="H123" s="13">
        <f t="shared" si="7"/>
        <v>3256010.59</v>
      </c>
    </row>
    <row r="124" spans="1:8" x14ac:dyDescent="0.2">
      <c r="A124" t="s">
        <v>218</v>
      </c>
      <c r="B124" s="31" t="s">
        <v>219</v>
      </c>
      <c r="C124" s="73">
        <f>('DOE25'!L209)+('DOE25'!L227)+('DOE25'!L245+'DOE25'!L255)</f>
        <v>1714663.62</v>
      </c>
      <c r="D124" s="23" t="s">
        <v>288</v>
      </c>
      <c r="E124" s="73">
        <f>+('DOE25'!L288)+('DOE25'!L307)+('DOE25'!L326)</f>
        <v>46099.31</v>
      </c>
      <c r="F124" s="23" t="s">
        <v>288</v>
      </c>
      <c r="G124" s="23" t="s">
        <v>288</v>
      </c>
      <c r="H124" s="13">
        <f t="shared" si="7"/>
        <v>1760762.9300000002</v>
      </c>
    </row>
    <row r="125" spans="1:8" x14ac:dyDescent="0.2">
      <c r="A125" t="s">
        <v>220</v>
      </c>
      <c r="B125" s="31" t="s">
        <v>221</v>
      </c>
      <c r="C125" s="73">
        <f>('DOE25'!L210)+('DOE25'!L228)+('DOE25'!L246)</f>
        <v>686338.41999999993</v>
      </c>
      <c r="D125" s="23" t="s">
        <v>288</v>
      </c>
      <c r="E125" s="73">
        <f>+('DOE25'!L289)+('DOE25'!L308)+('DOE25'!L327)</f>
        <v>3186.99</v>
      </c>
      <c r="F125" s="23" t="s">
        <v>288</v>
      </c>
      <c r="G125" s="23" t="s">
        <v>288</v>
      </c>
      <c r="H125" s="13">
        <f t="shared" si="7"/>
        <v>689525.40999999992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1149172.5100000002</v>
      </c>
      <c r="E127" s="23" t="s">
        <v>288</v>
      </c>
      <c r="F127" s="23" t="s">
        <v>288</v>
      </c>
      <c r="G127" s="23" t="s">
        <v>288</v>
      </c>
      <c r="H127" s="13">
        <f t="shared" si="7"/>
        <v>1149172.5100000002</v>
      </c>
    </row>
    <row r="128" spans="1:8" ht="12.75" thickTop="1" thickBot="1" x14ac:dyDescent="0.25">
      <c r="A128" s="32" t="s">
        <v>226</v>
      </c>
      <c r="C128" s="68">
        <f>SUM(C118:C127)</f>
        <v>11249687.089999998</v>
      </c>
      <c r="D128" s="68">
        <f>SUM(D118:D127)</f>
        <v>1149172.5100000002</v>
      </c>
      <c r="E128" s="68">
        <f>SUM(E118:E127)</f>
        <v>582453.46</v>
      </c>
      <c r="F128" s="68">
        <f>SUM(F118:F127)</f>
        <v>0</v>
      </c>
      <c r="G128" s="68">
        <f>SUM(G118:G127)</f>
        <v>0</v>
      </c>
      <c r="H128" s="68">
        <f t="shared" si="7"/>
        <v>12981313.059999999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2240344.2999999998</v>
      </c>
      <c r="F130" s="92">
        <f>SUM('DOE25'!L375:'DOE25'!L381)</f>
        <v>0</v>
      </c>
      <c r="G130" s="23" t="s">
        <v>288</v>
      </c>
      <c r="H130" s="13">
        <f t="shared" si="7"/>
        <v>2240344.2999999998</v>
      </c>
    </row>
    <row r="131" spans="1:8" x14ac:dyDescent="0.2">
      <c r="A131" t="s">
        <v>229</v>
      </c>
      <c r="B131" s="31">
        <v>5110</v>
      </c>
      <c r="C131" s="73">
        <f>'DOE25'!L261</f>
        <v>1092919.73</v>
      </c>
      <c r="D131" s="23" t="s">
        <v>288</v>
      </c>
      <c r="E131" s="92">
        <f>'DOE25'!L342</f>
        <v>0</v>
      </c>
      <c r="F131" s="23" t="s">
        <v>288</v>
      </c>
      <c r="G131" s="23" t="s">
        <v>288</v>
      </c>
      <c r="H131" s="13">
        <f t="shared" si="7"/>
        <v>1092919.73</v>
      </c>
    </row>
    <row r="132" spans="1:8" x14ac:dyDescent="0.2">
      <c r="A132" t="s">
        <v>230</v>
      </c>
      <c r="B132" s="31">
        <v>5120</v>
      </c>
      <c r="C132" s="73">
        <f>'DOE25'!L262</f>
        <v>736324.13</v>
      </c>
      <c r="D132" s="23" t="s">
        <v>288</v>
      </c>
      <c r="E132" s="92">
        <f>'DOE25'!L343</f>
        <v>0</v>
      </c>
      <c r="F132" s="23" t="s">
        <v>288</v>
      </c>
      <c r="G132" s="23" t="s">
        <v>288</v>
      </c>
      <c r="H132" s="13">
        <f t="shared" si="7"/>
        <v>736324.13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106873.93</v>
      </c>
      <c r="D139" s="23" t="s">
        <v>288</v>
      </c>
      <c r="E139" s="23" t="s">
        <v>288</v>
      </c>
      <c r="F139" s="23" t="s">
        <v>288</v>
      </c>
      <c r="G139" s="23" t="s">
        <v>288</v>
      </c>
      <c r="H139" s="13">
        <f t="shared" si="7"/>
        <v>106873.93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-106873.93</v>
      </c>
      <c r="D141" s="23" t="s">
        <v>288</v>
      </c>
      <c r="E141" s="23" t="s">
        <v>288</v>
      </c>
      <c r="F141" s="23" t="s">
        <v>288</v>
      </c>
      <c r="G141" s="23" t="s">
        <v>288</v>
      </c>
      <c r="H141" s="13">
        <f t="shared" si="7"/>
        <v>-106873.93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1829243.8599999999</v>
      </c>
      <c r="D144" s="98">
        <f>SUM(D130:D143)</f>
        <v>0</v>
      </c>
      <c r="E144" s="98">
        <f>SUM(E130:E143)</f>
        <v>2240344.2999999998</v>
      </c>
      <c r="F144" s="98">
        <f>SUM(F130:F143)</f>
        <v>0</v>
      </c>
      <c r="G144" s="98">
        <f>SUM(G130:G143)</f>
        <v>0</v>
      </c>
      <c r="H144" s="98">
        <f t="shared" si="7"/>
        <v>4069588.1599999997</v>
      </c>
    </row>
    <row r="145" spans="1:9" ht="12.75" thickTop="1" thickBot="1" x14ac:dyDescent="0.25">
      <c r="A145" s="32" t="s">
        <v>244</v>
      </c>
      <c r="C145" s="68">
        <f>(C115+C128+C144)</f>
        <v>30637846.309999995</v>
      </c>
      <c r="D145" s="68">
        <f>(D115+D128+D144)</f>
        <v>1149172.5100000002</v>
      </c>
      <c r="E145" s="68">
        <f>(E115+E128+E144)</f>
        <v>4241523.2799999993</v>
      </c>
      <c r="F145" s="68">
        <f>(F115+F128+F144)</f>
        <v>0</v>
      </c>
      <c r="G145" s="68">
        <f>(G115+G128+G144)</f>
        <v>0</v>
      </c>
      <c r="H145" s="68">
        <f t="shared" si="7"/>
        <v>36028542.099999994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15</v>
      </c>
      <c r="E151" s="110">
        <f>'DOE25'!I491</f>
        <v>0</v>
      </c>
      <c r="F151" s="110">
        <f>'DOE25'!J491</f>
        <v>15</v>
      </c>
      <c r="G151" s="23" t="s">
        <v>288</v>
      </c>
    </row>
    <row r="152" spans="1:9" x14ac:dyDescent="0.2">
      <c r="A152" s="21" t="s">
        <v>28</v>
      </c>
      <c r="B152" s="109" t="str">
        <f>'DOE25'!F492</f>
        <v>1/10</v>
      </c>
      <c r="C152" s="109" t="str">
        <f>'DOE25'!G492</f>
        <v>8/13</v>
      </c>
      <c r="D152" s="109">
        <f>'DOE25'!H492</f>
        <v>216</v>
      </c>
      <c r="E152" s="109">
        <f>'DOE25'!I492</f>
        <v>0</v>
      </c>
      <c r="F152" s="109">
        <f>'DOE25'!J492</f>
        <v>221</v>
      </c>
      <c r="G152" s="23" t="s">
        <v>288</v>
      </c>
    </row>
    <row r="153" spans="1:9" x14ac:dyDescent="0.2">
      <c r="A153" s="21" t="s">
        <v>29</v>
      </c>
      <c r="B153" s="109" t="str">
        <f>'DOE25'!F493</f>
        <v>1/30</v>
      </c>
      <c r="C153" s="109" t="str">
        <f>'DOE25'!G493</f>
        <v>8/28</v>
      </c>
      <c r="D153" s="109">
        <f>'DOE25'!H493</f>
        <v>831</v>
      </c>
      <c r="E153" s="109">
        <f>'DOE25'!I493</f>
        <v>0</v>
      </c>
      <c r="F153" s="109">
        <f>'DOE25'!J493</f>
        <v>236</v>
      </c>
      <c r="G153" s="23" t="s">
        <v>288</v>
      </c>
    </row>
    <row r="154" spans="1:9" x14ac:dyDescent="0.2">
      <c r="A154" s="21" t="s">
        <v>30</v>
      </c>
      <c r="B154" s="19">
        <f>'DOE25'!F494</f>
        <v>18953000</v>
      </c>
      <c r="C154" s="19">
        <f>'DOE25'!G494</f>
        <v>1181700</v>
      </c>
      <c r="D154" s="19">
        <f>'DOE25'!H494</f>
        <v>1453925</v>
      </c>
      <c r="E154" s="19">
        <f>'DOE25'!I494</f>
        <v>1640000</v>
      </c>
      <c r="F154" s="19">
        <f>'DOE25'!J494</f>
        <v>550500</v>
      </c>
      <c r="G154" s="23" t="s">
        <v>288</v>
      </c>
    </row>
    <row r="155" spans="1:9" x14ac:dyDescent="0.2">
      <c r="A155" s="21" t="s">
        <v>31</v>
      </c>
      <c r="B155" s="19">
        <f>'DOE25'!F495</f>
        <v>3.73</v>
      </c>
      <c r="C155" s="19">
        <f>'DOE25'!G495</f>
        <v>3.14</v>
      </c>
      <c r="D155" s="19">
        <f>'DOE25'!H495</f>
        <v>2.16</v>
      </c>
      <c r="E155" s="19">
        <f>'DOE25'!I495</f>
        <v>0</v>
      </c>
      <c r="F155" s="19">
        <f>'DOE25'!J495</f>
        <v>1.31</v>
      </c>
      <c r="G155" s="23" t="s">
        <v>288</v>
      </c>
    </row>
    <row r="156" spans="1:9" x14ac:dyDescent="0.2">
      <c r="A156" s="21" t="s">
        <v>32</v>
      </c>
      <c r="B156" s="19">
        <f>'DOE25'!F496</f>
        <v>4837898.1399999997</v>
      </c>
      <c r="C156" s="19">
        <f>'DOE25'!G496</f>
        <v>479450</v>
      </c>
      <c r="D156" s="19">
        <f>'DOE25'!H496</f>
        <v>855000</v>
      </c>
      <c r="E156" s="19">
        <f>'DOE25'!I496</f>
        <v>1085000</v>
      </c>
      <c r="F156" s="19">
        <f>'DOE25'!J496</f>
        <v>435000</v>
      </c>
      <c r="G156" s="96">
        <f>SUM(B156:F156)</f>
        <v>7692348.1399999997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4041503.41</v>
      </c>
      <c r="C159" s="19">
        <f>'DOE25'!G499</f>
        <v>397600</v>
      </c>
      <c r="D159" s="19">
        <f>'DOE25'!H499</f>
        <v>760000</v>
      </c>
      <c r="E159" s="19">
        <f>'DOE25'!I499</f>
        <v>985000</v>
      </c>
      <c r="F159" s="19">
        <f>'DOE25'!J499</f>
        <v>395000</v>
      </c>
      <c r="G159" s="96">
        <f t="shared" si="8"/>
        <v>6579103.4100000001</v>
      </c>
    </row>
    <row r="160" spans="1:9" x14ac:dyDescent="0.2">
      <c r="A160" s="21" t="s">
        <v>36</v>
      </c>
      <c r="B160" s="19">
        <f>'DOE25'!F500</f>
        <v>4381194.59</v>
      </c>
      <c r="C160" s="19">
        <f>'DOE25'!G500</f>
        <v>46837.06</v>
      </c>
      <c r="D160" s="19">
        <f>'DOE25'!H500</f>
        <v>101011.18</v>
      </c>
      <c r="E160" s="19">
        <f>'DOE25'!I500</f>
        <v>207758.84</v>
      </c>
      <c r="F160" s="19">
        <f>'DOE25'!J500</f>
        <v>79025</v>
      </c>
      <c r="G160" s="96">
        <f t="shared" si="8"/>
        <v>4815826.669999999</v>
      </c>
    </row>
    <row r="161" spans="1:7" x14ac:dyDescent="0.2">
      <c r="A161" s="21" t="s">
        <v>37</v>
      </c>
      <c r="B161" s="19">
        <f>'DOE25'!F501</f>
        <v>8422698</v>
      </c>
      <c r="C161" s="19">
        <f>'DOE25'!G501</f>
        <v>444437.06</v>
      </c>
      <c r="D161" s="19">
        <f>'DOE25'!H501</f>
        <v>861011.17999999993</v>
      </c>
      <c r="E161" s="19">
        <f>'DOE25'!I501</f>
        <v>1192758.8400000001</v>
      </c>
      <c r="F161" s="19">
        <f>'DOE25'!J501</f>
        <v>474025</v>
      </c>
      <c r="G161" s="96">
        <f t="shared" si="8"/>
        <v>11394930.08</v>
      </c>
    </row>
    <row r="162" spans="1:7" x14ac:dyDescent="0.2">
      <c r="A162" s="21" t="s">
        <v>38</v>
      </c>
      <c r="B162" s="19">
        <f>'DOE25'!F502</f>
        <v>764626.95</v>
      </c>
      <c r="C162" s="19">
        <f>'DOE25'!G502</f>
        <v>81850</v>
      </c>
      <c r="D162" s="19">
        <f>'DOE25'!H502</f>
        <v>95000</v>
      </c>
      <c r="E162" s="19">
        <f>'DOE25'!I502</f>
        <v>100000</v>
      </c>
      <c r="F162" s="19">
        <f>'DOE25'!J502</f>
        <v>40000</v>
      </c>
      <c r="G162" s="96">
        <f t="shared" si="8"/>
        <v>1081476.95</v>
      </c>
    </row>
    <row r="163" spans="1:7" x14ac:dyDescent="0.2">
      <c r="A163" s="21" t="s">
        <v>39</v>
      </c>
      <c r="B163" s="19">
        <f>'DOE25'!F503</f>
        <v>635371.05000000005</v>
      </c>
      <c r="C163" s="19">
        <f>'DOE25'!G503</f>
        <v>15429.68</v>
      </c>
      <c r="D163" s="19">
        <f>'DOE25'!H503</f>
        <v>24961.26</v>
      </c>
      <c r="E163" s="19">
        <f>'DOE25'!I503</f>
        <v>41891.26</v>
      </c>
      <c r="F163" s="19">
        <f>'DOE25'!J503</f>
        <v>15595</v>
      </c>
      <c r="G163" s="96">
        <f t="shared" si="8"/>
        <v>733248.25000000012</v>
      </c>
    </row>
    <row r="164" spans="1:7" x14ac:dyDescent="0.2">
      <c r="A164" s="21" t="s">
        <v>246</v>
      </c>
      <c r="B164" s="19">
        <f>'DOE25'!F504</f>
        <v>1399998</v>
      </c>
      <c r="C164" s="19">
        <f>'DOE25'!G504</f>
        <v>97279.679999999993</v>
      </c>
      <c r="D164" s="19">
        <f>'DOE25'!H504</f>
        <v>119961.26</v>
      </c>
      <c r="E164" s="19">
        <f>'DOE25'!I504</f>
        <v>141891.26</v>
      </c>
      <c r="F164" s="19">
        <f>'DOE25'!J504</f>
        <v>55595</v>
      </c>
      <c r="G164" s="96">
        <f t="shared" si="8"/>
        <v>1814725.2</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Somersworth</v>
      </c>
    </row>
    <row r="3" spans="1:4" x14ac:dyDescent="0.2">
      <c r="B3" s="136" t="s">
        <v>1792</v>
      </c>
    </row>
    <row r="4" spans="1:4" x14ac:dyDescent="0.2">
      <c r="B4" t="s">
        <v>61</v>
      </c>
      <c r="C4" s="128">
        <f>IF('DOE25'!F666+'DOE25'!F671=0,0,ROUND('DOE25'!F673,0))</f>
        <v>21060</v>
      </c>
    </row>
    <row r="5" spans="1:4" x14ac:dyDescent="0.2">
      <c r="B5" t="s">
        <v>700</v>
      </c>
      <c r="C5" s="128">
        <f>IF('DOE25'!G666+'DOE25'!G671=0,0,ROUND('DOE25'!G673,0))</f>
        <v>19784</v>
      </c>
    </row>
    <row r="6" spans="1:4" x14ac:dyDescent="0.2">
      <c r="B6" t="s">
        <v>62</v>
      </c>
      <c r="C6" s="128">
        <f>IF('DOE25'!H666+'DOE25'!H671=0,0,ROUND('DOE25'!H673,0))</f>
        <v>21967</v>
      </c>
    </row>
    <row r="7" spans="1:4" x14ac:dyDescent="0.2">
      <c r="B7" t="s">
        <v>701</v>
      </c>
      <c r="C7" s="128">
        <f>IF('DOE25'!I666+'DOE25'!I671=0,0,ROUND('DOE25'!I673,0))</f>
        <v>21031</v>
      </c>
    </row>
    <row r="9" spans="1:4" x14ac:dyDescent="0.2">
      <c r="A9" s="135" t="s">
        <v>94</v>
      </c>
      <c r="B9" s="136" t="s">
        <v>1793</v>
      </c>
      <c r="C9" s="130" t="s">
        <v>720</v>
      </c>
      <c r="D9" s="130" t="s">
        <v>721</v>
      </c>
    </row>
    <row r="10" spans="1:4" x14ac:dyDescent="0.2">
      <c r="A10">
        <v>1100</v>
      </c>
      <c r="B10" t="s">
        <v>702</v>
      </c>
      <c r="C10" s="128">
        <f>ROUND('DOE25'!L198+'DOE25'!L216+'DOE25'!L234+'DOE25'!L277+'DOE25'!L296+'DOE25'!L315,0)</f>
        <v>9365197</v>
      </c>
      <c r="D10" s="131">
        <f>ROUND((C10/$C$28)*100,1)</f>
        <v>28.9</v>
      </c>
    </row>
    <row r="11" spans="1:4" x14ac:dyDescent="0.2">
      <c r="A11">
        <v>1200</v>
      </c>
      <c r="B11" t="s">
        <v>703</v>
      </c>
      <c r="C11" s="128">
        <f>ROUND('DOE25'!L199+'DOE25'!L217+'DOE25'!L235+'DOE25'!L278+'DOE25'!L297+'DOE25'!L316,0)</f>
        <v>7968164</v>
      </c>
      <c r="D11" s="131">
        <f>ROUND((C11/$C$28)*100,1)</f>
        <v>24.6</v>
      </c>
    </row>
    <row r="12" spans="1:4" x14ac:dyDescent="0.2">
      <c r="A12">
        <v>1300</v>
      </c>
      <c r="B12" t="s">
        <v>704</v>
      </c>
      <c r="C12" s="128">
        <f>ROUND('DOE25'!L200+'DOE25'!L218+'DOE25'!L236+'DOE25'!L279+'DOE25'!L298+'DOE25'!L317,0)</f>
        <v>1076157</v>
      </c>
      <c r="D12" s="131">
        <f>ROUND((C12/$C$28)*100,1)</f>
        <v>3.3</v>
      </c>
    </row>
    <row r="13" spans="1:4" x14ac:dyDescent="0.2">
      <c r="A13">
        <v>1400</v>
      </c>
      <c r="B13" t="s">
        <v>705</v>
      </c>
      <c r="C13" s="128">
        <f>ROUND('DOE25'!L201+'DOE25'!L219+'DOE25'!L237+'DOE25'!L280+'DOE25'!L299+'DOE25'!L318,0)</f>
        <v>568122</v>
      </c>
      <c r="D13" s="131">
        <f>ROUND((C13/$C$28)*100,1)</f>
        <v>1.8</v>
      </c>
    </row>
    <row r="14" spans="1:4" x14ac:dyDescent="0.2">
      <c r="D14" s="131"/>
    </row>
    <row r="15" spans="1:4" x14ac:dyDescent="0.2">
      <c r="A15">
        <v>2100</v>
      </c>
      <c r="B15" t="s">
        <v>706</v>
      </c>
      <c r="C15" s="128">
        <f>ROUND('DOE25'!L203+'DOE25'!L221+'DOE25'!L239+'DOE25'!L282+'DOE25'!L301+'DOE25'!L320,0)</f>
        <v>1945752</v>
      </c>
      <c r="D15" s="131">
        <f t="shared" ref="D15:D27" si="0">ROUND((C15/$C$28)*100,1)</f>
        <v>6</v>
      </c>
    </row>
    <row r="16" spans="1:4" x14ac:dyDescent="0.2">
      <c r="A16">
        <v>2200</v>
      </c>
      <c r="B16" t="s">
        <v>707</v>
      </c>
      <c r="C16" s="128">
        <f>ROUND('DOE25'!L204+'DOE25'!L222+'DOE25'!L240+'DOE25'!L283+'DOE25'!L302+'DOE25'!L321,0)</f>
        <v>704506</v>
      </c>
      <c r="D16" s="131">
        <f t="shared" si="0"/>
        <v>2.2000000000000002</v>
      </c>
    </row>
    <row r="17" spans="1:4" x14ac:dyDescent="0.2">
      <c r="A17" s="132" t="s">
        <v>723</v>
      </c>
      <c r="B17" t="s">
        <v>738</v>
      </c>
      <c r="C17" s="128">
        <f>ROUND('DOE25'!L205+'DOE25'!L210+'DOE25'!L223+'DOE25'!L228+'DOE25'!L241+'DOE25'!L246+'DOE25'!L284+'DOE25'!L289+'DOE25'!L303+'DOE25'!L308+'DOE25'!L322+'DOE25'!L327,0)</f>
        <v>1999640</v>
      </c>
      <c r="D17" s="131">
        <f t="shared" si="0"/>
        <v>6.2</v>
      </c>
    </row>
    <row r="18" spans="1:4" x14ac:dyDescent="0.2">
      <c r="A18">
        <v>2400</v>
      </c>
      <c r="B18" t="s">
        <v>711</v>
      </c>
      <c r="C18" s="128">
        <f>ROUND('DOE25'!L206+'DOE25'!L224+'DOE25'!L242+'DOE25'!L285+'DOE25'!L304+'DOE25'!L323,0)</f>
        <v>2130464</v>
      </c>
      <c r="D18" s="131">
        <f t="shared" si="0"/>
        <v>6.6</v>
      </c>
    </row>
    <row r="19" spans="1:4" x14ac:dyDescent="0.2">
      <c r="A19">
        <v>2500</v>
      </c>
      <c r="B19" t="s">
        <v>708</v>
      </c>
      <c r="C19" s="128">
        <f>ROUND('DOE25'!L207+'DOE25'!L225+'DOE25'!L243+'DOE25'!L286+'DOE25'!L305+'DOE25'!L324,0)</f>
        <v>35005</v>
      </c>
      <c r="D19" s="131">
        <f t="shared" si="0"/>
        <v>0.1</v>
      </c>
    </row>
    <row r="20" spans="1:4" x14ac:dyDescent="0.2">
      <c r="A20">
        <v>2600</v>
      </c>
      <c r="B20" t="s">
        <v>709</v>
      </c>
      <c r="C20" s="128">
        <f>ROUND('DOE25'!L208+'DOE25'!L226+'DOE25'!L244+'DOE25'!L287+'DOE25'!L306+'DOE25'!L325,0)</f>
        <v>3256011</v>
      </c>
      <c r="D20" s="131">
        <f t="shared" si="0"/>
        <v>10.1</v>
      </c>
    </row>
    <row r="21" spans="1:4" x14ac:dyDescent="0.2">
      <c r="A21">
        <v>2700</v>
      </c>
      <c r="B21" t="s">
        <v>710</v>
      </c>
      <c r="C21" s="128">
        <f>ROUND('DOE25'!L209+'DOE25'!L227+'DOE25'!L245+'DOE25'!L288+'DOE25'!L307+'DOE25'!L326,0)</f>
        <v>1760763</v>
      </c>
      <c r="D21" s="131">
        <f t="shared" si="0"/>
        <v>5.4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736324</v>
      </c>
      <c r="D25" s="131">
        <f t="shared" si="0"/>
        <v>2.2999999999999998</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817339.67</v>
      </c>
      <c r="D27" s="131">
        <f t="shared" si="0"/>
        <v>2.5</v>
      </c>
    </row>
    <row r="28" spans="1:4" x14ac:dyDescent="0.2">
      <c r="B28" s="135" t="s">
        <v>719</v>
      </c>
      <c r="C28" s="129">
        <f>SUM(C10:C27)</f>
        <v>32363444.670000002</v>
      </c>
      <c r="D28" s="133">
        <f>ROUND(SUM(D10:D27),0)</f>
        <v>100</v>
      </c>
    </row>
    <row r="29" spans="1:4" x14ac:dyDescent="0.2">
      <c r="A29">
        <v>4000</v>
      </c>
      <c r="B29" t="s">
        <v>724</v>
      </c>
      <c r="C29" s="128">
        <f>ROUND('DOE25'!L256+'DOE25'!L337+'DOE25'!L375+'DOE25'!L376+'DOE25'!L377+'DOE25'!L378+'DOE25'!L379+'DOE25'!L380+'DOE25'!L381,0)</f>
        <v>2240344</v>
      </c>
    </row>
    <row r="30" spans="1:4" x14ac:dyDescent="0.2">
      <c r="B30" s="135" t="s">
        <v>725</v>
      </c>
      <c r="C30" s="129">
        <f>SUM(C28:C29)</f>
        <v>34603788.670000002</v>
      </c>
    </row>
    <row r="31" spans="1:4" x14ac:dyDescent="0.2">
      <c r="B31" s="32"/>
      <c r="C31" s="129"/>
    </row>
    <row r="32" spans="1:4" x14ac:dyDescent="0.2">
      <c r="A32">
        <v>5100</v>
      </c>
      <c r="B32" s="32" t="s">
        <v>726</v>
      </c>
      <c r="C32" s="129">
        <f>ROUND('DOE25'!L261+'DOE25'!L342,0)</f>
        <v>1092920</v>
      </c>
    </row>
    <row r="34" spans="1:4" x14ac:dyDescent="0.2">
      <c r="A34" s="135" t="s">
        <v>94</v>
      </c>
      <c r="B34" s="136" t="s">
        <v>1794</v>
      </c>
      <c r="C34" s="130" t="s">
        <v>720</v>
      </c>
      <c r="D34" s="130" t="s">
        <v>721</v>
      </c>
    </row>
    <row r="35" spans="1:4" x14ac:dyDescent="0.2">
      <c r="A35">
        <v>1100</v>
      </c>
      <c r="B35" s="71" t="s">
        <v>727</v>
      </c>
      <c r="C35" s="128">
        <f>ROUND('DOE25'!F60+'DOE25'!G60+'DOE25'!H60+'DOE25'!I60+'DOE25'!J60,0)</f>
        <v>17648707</v>
      </c>
      <c r="D35" s="131">
        <f t="shared" ref="D35:D40" si="1">ROUND((C35/$C$41)*100,1)</f>
        <v>49.9</v>
      </c>
    </row>
    <row r="36" spans="1:4" x14ac:dyDescent="0.2">
      <c r="B36" s="71" t="s">
        <v>739</v>
      </c>
      <c r="C36" s="128">
        <f>SUM('DOE25'!F112:J112)-SUM('DOE25'!G97:G110)+('DOE25'!F175+'DOE25'!F176+'DOE25'!I175+'DOE25'!I176)-C35</f>
        <v>613802.40000000224</v>
      </c>
      <c r="D36" s="131">
        <f t="shared" si="1"/>
        <v>1.7</v>
      </c>
    </row>
    <row r="37" spans="1:4" x14ac:dyDescent="0.2">
      <c r="A37" s="132" t="s">
        <v>831</v>
      </c>
      <c r="B37" s="71" t="s">
        <v>728</v>
      </c>
      <c r="C37" s="128">
        <f>ROUND('DOE25'!F117+'DOE25'!F118,0)</f>
        <v>11262759</v>
      </c>
      <c r="D37" s="131">
        <f t="shared" si="1"/>
        <v>31.9</v>
      </c>
    </row>
    <row r="38" spans="1:4" x14ac:dyDescent="0.2">
      <c r="A38" s="132" t="s">
        <v>734</v>
      </c>
      <c r="B38" s="71" t="s">
        <v>729</v>
      </c>
      <c r="C38" s="128">
        <f>ROUND(SUM('DOE25'!F140:J140)-SUM('DOE25'!F117:F119),0)</f>
        <v>1085985</v>
      </c>
      <c r="D38" s="131">
        <f t="shared" si="1"/>
        <v>3.1</v>
      </c>
    </row>
    <row r="39" spans="1:4" x14ac:dyDescent="0.2">
      <c r="A39">
        <v>4000</v>
      </c>
      <c r="B39" s="71" t="s">
        <v>730</v>
      </c>
      <c r="C39" s="128">
        <f>ROUND('DOE25'!F170+'DOE25'!G170+'DOE25'!H170+'DOE25'!I170,0)</f>
        <v>4746471</v>
      </c>
      <c r="D39" s="131">
        <f t="shared" si="1"/>
        <v>13.4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35357724.400000006</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Somersworth</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136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66</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86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181</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f>IF('School Level Expenditures'!$B$2='School Tables'!L69,'School Tables'!S69,"")</f>
        <v>66</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f>IF('School Level Expenditures'!$B$2='School Tables'!W89,'School Tables'!AD89,"")</f>
        <v>86</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f>IF('School Level Expenditures'!$B$2=A139,'School Tables'!H139,"")</f>
        <v>136</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f>IF('School Level Expenditures'!$B$2=A184,'School Tables'!H184,"")</f>
        <v>181</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2024-08-26T14:16:19Z</cp:lastPrinted>
  <dcterms:created xsi:type="dcterms:W3CDTF">1997-12-04T19:04:30Z</dcterms:created>
  <dcterms:modified xsi:type="dcterms:W3CDTF">2024-12-20T19:30:55Z</dcterms:modified>
</cp:coreProperties>
</file>