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E4B74470-78A4-4F94-8689-A15067771557}"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6" i="14" l="1"/>
  <c r="E22" i="17"/>
  <c r="D6" i="14"/>
  <c r="K39" i="14"/>
  <c r="E39" i="14"/>
  <c r="F6" i="13"/>
  <c r="F5" i="13"/>
  <c r="F31" i="13"/>
  <c r="C37" i="12"/>
  <c r="C19" i="12"/>
  <c r="C20" i="12"/>
  <c r="C10" i="12"/>
  <c r="C12" i="12"/>
  <c r="C11" i="12"/>
  <c r="B38" i="12"/>
  <c r="B37" i="12"/>
  <c r="B20" i="12"/>
  <c r="B19" i="12"/>
  <c r="B12" i="12"/>
  <c r="B11" i="12"/>
  <c r="B10" i="12"/>
  <c r="E17" i="17"/>
  <c r="E13" i="17"/>
  <c r="E9" i="17"/>
  <c r="J605" i="1"/>
  <c r="H605" i="1"/>
  <c r="J592" i="1"/>
  <c r="H592" i="1"/>
  <c r="F440" i="1"/>
  <c r="G612" i="1" l="1"/>
  <c r="F612" i="1"/>
  <c r="H576" i="1"/>
  <c r="H532" i="1"/>
  <c r="H527" i="1"/>
  <c r="H524" i="1"/>
  <c r="H522" i="1"/>
  <c r="G522" i="1"/>
  <c r="F522" i="1"/>
  <c r="H529" i="1"/>
  <c r="G542" i="1"/>
  <c r="I527" i="1"/>
  <c r="G527" i="1"/>
  <c r="F527" i="1"/>
  <c r="K522" i="1"/>
  <c r="I522" i="1"/>
  <c r="F369" i="1" l="1"/>
  <c r="F368" i="1"/>
  <c r="I359" i="1"/>
  <c r="H359" i="1"/>
  <c r="J359" i="1"/>
  <c r="I282" i="1"/>
  <c r="H282" i="1"/>
  <c r="J282" i="1"/>
  <c r="I288" i="1"/>
  <c r="G288" i="1"/>
  <c r="F288" i="1"/>
  <c r="H287" i="1"/>
  <c r="K286" i="1"/>
  <c r="G284" i="1"/>
  <c r="F284" i="1"/>
  <c r="K283" i="1"/>
  <c r="I283" i="1"/>
  <c r="H283" i="1"/>
  <c r="G283" i="1"/>
  <c r="F283" i="1"/>
  <c r="H280" i="1"/>
  <c r="G280" i="1"/>
  <c r="F280" i="1"/>
  <c r="H278" i="1"/>
  <c r="G278" i="1"/>
  <c r="F278" i="1"/>
  <c r="I277" i="1"/>
  <c r="G277" i="1"/>
  <c r="F277" i="1"/>
  <c r="K269" i="1"/>
  <c r="J245" i="1"/>
  <c r="J209" i="1"/>
  <c r="K245" i="1"/>
  <c r="I245" i="1"/>
  <c r="H245" i="1"/>
  <c r="G245" i="1"/>
  <c r="F245" i="1"/>
  <c r="I241" i="1"/>
  <c r="H241" i="1"/>
  <c r="G241" i="1"/>
  <c r="F241" i="1"/>
  <c r="H239" i="1"/>
  <c r="H236" i="1"/>
  <c r="H235" i="1"/>
  <c r="H234" i="1"/>
  <c r="J210" i="1"/>
  <c r="I210" i="1"/>
  <c r="H210" i="1"/>
  <c r="K209" i="1"/>
  <c r="I209" i="1"/>
  <c r="H209" i="1"/>
  <c r="G209" i="1"/>
  <c r="F209" i="1"/>
  <c r="K208" i="1"/>
  <c r="J208" i="1"/>
  <c r="I208" i="1"/>
  <c r="H208" i="1"/>
  <c r="G208" i="1"/>
  <c r="F208" i="1"/>
  <c r="K206" i="1"/>
  <c r="J206" i="1"/>
  <c r="I206" i="1"/>
  <c r="H206" i="1"/>
  <c r="G206" i="1"/>
  <c r="F206" i="1"/>
  <c r="K205" i="1"/>
  <c r="I205" i="1"/>
  <c r="H205" i="1"/>
  <c r="G205" i="1"/>
  <c r="F205" i="1"/>
  <c r="K204" i="1"/>
  <c r="I204" i="1"/>
  <c r="H204" i="1"/>
  <c r="G204" i="1"/>
  <c r="F204" i="1"/>
  <c r="K203" i="1"/>
  <c r="J203" i="1"/>
  <c r="I203" i="1"/>
  <c r="H203" i="1"/>
  <c r="G203" i="1"/>
  <c r="F203" i="1"/>
  <c r="H201" i="1"/>
  <c r="G201" i="1"/>
  <c r="K199" i="1"/>
  <c r="I199" i="1"/>
  <c r="H199" i="1"/>
  <c r="G199" i="1"/>
  <c r="F199" i="1"/>
  <c r="K198" i="1"/>
  <c r="I198" i="1"/>
  <c r="H198" i="1"/>
  <c r="G198" i="1"/>
  <c r="F198" i="1"/>
  <c r="H161" i="1"/>
  <c r="H159" i="1"/>
  <c r="H155" i="1"/>
  <c r="H154" i="1"/>
  <c r="H145" i="1"/>
  <c r="G158" i="1"/>
  <c r="G132" i="1"/>
  <c r="G97" i="1"/>
  <c r="H110" i="1"/>
  <c r="H162" i="1"/>
  <c r="F117" i="1"/>
  <c r="F128" i="1"/>
  <c r="F127" i="1"/>
  <c r="F126" i="1"/>
  <c r="F118" i="1"/>
  <c r="F57" i="1"/>
  <c r="G22" i="1"/>
  <c r="G30" i="1"/>
  <c r="G48" i="1"/>
  <c r="F50" i="1"/>
  <c r="G35" i="1"/>
  <c r="F46" i="1"/>
  <c r="H22" i="1"/>
  <c r="H30" i="1"/>
  <c r="G24" i="1"/>
  <c r="H12" i="1"/>
  <c r="F12" i="1"/>
  <c r="F29" i="1"/>
  <c r="F28" i="1"/>
  <c r="F24" i="1"/>
  <c r="J469" i="1"/>
  <c r="H423" i="1"/>
  <c r="H427" i="1"/>
  <c r="H401" i="1"/>
  <c r="H399" i="1"/>
  <c r="H397" i="1"/>
  <c r="H393" i="1"/>
  <c r="H391" i="1"/>
  <c r="G440" i="1"/>
  <c r="H13" i="1"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40" i="2"/>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H135" i="2"/>
  <c r="H143" i="2"/>
  <c r="H134" i="2"/>
  <c r="H132" i="2"/>
  <c r="H131" i="2"/>
  <c r="H113" i="2"/>
  <c r="H114" i="2"/>
  <c r="H98" i="2"/>
  <c r="H100" i="2"/>
  <c r="H101" i="2"/>
  <c r="H102" i="2"/>
  <c r="H94" i="2"/>
  <c r="H93" i="2"/>
  <c r="H89" i="2"/>
  <c r="H87" i="2"/>
  <c r="H73" i="2"/>
  <c r="H74" i="2"/>
  <c r="H79" i="2"/>
  <c r="H80" i="2"/>
  <c r="H72" i="2"/>
  <c r="H69" i="2"/>
  <c r="H57" i="2"/>
  <c r="H58" i="2"/>
  <c r="H43" i="2"/>
  <c r="H44" i="2"/>
  <c r="H42" i="2"/>
  <c r="H40" i="2"/>
  <c r="H39" i="2"/>
  <c r="H38" i="2"/>
  <c r="H36" i="2"/>
  <c r="H35" i="2"/>
  <c r="H22" i="2"/>
  <c r="H24" i="2"/>
  <c r="H25" i="2"/>
  <c r="H26" i="2"/>
  <c r="H30" i="2"/>
  <c r="H10" i="2"/>
  <c r="H13" i="2"/>
  <c r="H14"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D39" i="2"/>
  <c r="G656" i="1"/>
  <c r="F48" i="2"/>
  <c r="E48" i="2"/>
  <c r="D48" i="2"/>
  <c r="H48" i="2" s="1"/>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H15" i="2" s="1"/>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H28" i="2" s="1"/>
  <c r="D28" i="2"/>
  <c r="E28" i="2"/>
  <c r="F28" i="2"/>
  <c r="C29" i="2"/>
  <c r="D29" i="2"/>
  <c r="E29" i="2"/>
  <c r="F29" i="2"/>
  <c r="C30" i="2"/>
  <c r="D30" i="2"/>
  <c r="E30" i="2"/>
  <c r="F30" i="2"/>
  <c r="I452" i="1"/>
  <c r="J31" i="1" s="1"/>
  <c r="G30" i="2" s="1"/>
  <c r="C34" i="2"/>
  <c r="D34" i="2"/>
  <c r="H34" i="2" s="1"/>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C75" i="2"/>
  <c r="H75" i="2" s="1"/>
  <c r="C76" i="2"/>
  <c r="H76" i="2" s="1"/>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H96" i="2" s="1"/>
  <c r="C97" i="2"/>
  <c r="H97" i="2" s="1"/>
  <c r="D97" i="2"/>
  <c r="E97" i="2"/>
  <c r="F97" i="2"/>
  <c r="G97" i="2"/>
  <c r="C98" i="2"/>
  <c r="D98" i="2"/>
  <c r="E98" i="2"/>
  <c r="G98" i="2"/>
  <c r="C99" i="2"/>
  <c r="H99" i="2" s="1"/>
  <c r="D99" i="2"/>
  <c r="E99" i="2"/>
  <c r="F99" i="2"/>
  <c r="C100" i="2"/>
  <c r="D100" i="2"/>
  <c r="E100" i="2"/>
  <c r="F100" i="2"/>
  <c r="C101" i="2"/>
  <c r="D101" i="2"/>
  <c r="E101" i="2"/>
  <c r="F101" i="2"/>
  <c r="C102" i="2"/>
  <c r="D102" i="2"/>
  <c r="E102" i="2"/>
  <c r="F102" i="2"/>
  <c r="E111" i="2"/>
  <c r="C112" i="2"/>
  <c r="E112" i="2"/>
  <c r="D115" i="2"/>
  <c r="F115" i="2"/>
  <c r="G115" i="2"/>
  <c r="C125" i="2"/>
  <c r="H125" i="2" s="1"/>
  <c r="E125" i="2"/>
  <c r="F128" i="2"/>
  <c r="G128" i="2"/>
  <c r="C130"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I409" i="1" s="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H653" i="1"/>
  <c r="G654" i="1"/>
  <c r="H654" i="1"/>
  <c r="H655" i="1"/>
  <c r="H656" i="1"/>
  <c r="I170" i="1"/>
  <c r="G409" i="1" l="1"/>
  <c r="H646" i="1" s="1"/>
  <c r="J652" i="1"/>
  <c r="H477" i="1"/>
  <c r="H625" i="1" s="1"/>
  <c r="D29" i="13"/>
  <c r="C29" i="13" s="1"/>
  <c r="G662" i="1"/>
  <c r="C13" i="10"/>
  <c r="H112" i="2"/>
  <c r="D15" i="13"/>
  <c r="C15" i="13" s="1"/>
  <c r="C12" i="10"/>
  <c r="K36" i="14"/>
  <c r="K37" i="14" s="1"/>
  <c r="C120" i="2"/>
  <c r="H120" i="2" s="1"/>
  <c r="C119" i="2"/>
  <c r="K2" i="14"/>
  <c r="K3" i="14" s="1"/>
  <c r="D78" i="2"/>
  <c r="H77" i="2"/>
  <c r="H61" i="2"/>
  <c r="H59" i="2"/>
  <c r="H47" i="2"/>
  <c r="H29" i="2"/>
  <c r="H11" i="2"/>
  <c r="H23" i="2"/>
  <c r="G646" i="1"/>
  <c r="H8"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H122" i="2" s="1"/>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21" i="2" l="1"/>
  <c r="D128" i="2"/>
  <c r="D145" i="2" s="1"/>
  <c r="H127" i="2"/>
  <c r="F194" i="1"/>
  <c r="G628" i="1" s="1"/>
  <c r="J628" i="1" s="1"/>
  <c r="H119" i="2"/>
  <c r="E91" i="2"/>
  <c r="H91" i="2" s="1"/>
  <c r="H85" i="2"/>
  <c r="I662" i="1"/>
  <c r="H62" i="2"/>
  <c r="H103" i="2"/>
  <c r="C81" i="2"/>
  <c r="H81" i="2" s="1"/>
  <c r="H78" i="2"/>
  <c r="D51" i="2"/>
  <c r="H50" i="2"/>
  <c r="E51"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E104" i="2" l="1"/>
  <c r="H104" i="2" s="1"/>
  <c r="H63" i="2"/>
  <c r="H51" i="2"/>
  <c r="C144" i="2"/>
  <c r="H144"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<sst xmlns="http://schemas.openxmlformats.org/spreadsheetml/2006/main" count="6641" uniqueCount="1841">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</sst>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2" zoomScaleNormal="100" workbookViewId="0">
      <selection activeCell="H671" sqref="H671"/>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1411</v>
      </c>
      <c r="B2">
        <f>INDEX('School Tables'!$AH$3:$AH$213,MATCH('DOE25'!A2,'School Tables'!$AJ$3:$AJ$213,0))</f>
        <v>501</v>
      </c>
      <c r="C2">
        <f>INDEX('School Tables'!$AI$3:$AI$213,MATCH('DOE25'!A2,'School Tables'!$AJ$3:$AJ$213,0))</f>
        <v>501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319004.44</v>
      </c>
      <c r="G9" s="18">
        <v>151961.87</v>
      </c>
      <c r="H9" s="18"/>
      <c r="I9" s="18"/>
      <c r="J9" s="13">
        <f>SUM(I440)</f>
        <v>361454.45000000007</v>
      </c>
      <c r="K9" s="23" t="s">
        <v>288</v>
      </c>
      <c r="L9" s="23" t="s">
        <v>288</v>
      </c>
      <c r="M9" s="8"/>
      <c r="N9" s="164"/>
    </row>
    <row r="10" spans="1:14" s="3" customFormat="1" ht="12.2" customHeight="1" x14ac:dyDescent="0.15">
      <c r="A10" s="1" t="s">
        <v>562</v>
      </c>
      <c r="B10" s="2" t="s">
        <v>289</v>
      </c>
      <c r="C10" s="6">
        <v>2</v>
      </c>
      <c r="D10" s="2" t="s">
        <v>428</v>
      </c>
      <c r="E10" s="6">
        <v>110</v>
      </c>
      <c r="F10" s="18">
        <v>41227.620000000003</v>
      </c>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116820.53</f>
        <v>116820.53</v>
      </c>
      <c r="G12" s="18"/>
      <c r="H12" s="18">
        <f>8.89+7617.97+880.6</f>
        <v>8507.4600000000009</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7979.96</v>
      </c>
      <c r="G13" s="18">
        <v>6450.26</v>
      </c>
      <c r="H13" s="18">
        <f>2604.65+4673.96+61.99+6028.25+34645.35</f>
        <v>48014.2</v>
      </c>
      <c r="I13" s="18"/>
      <c r="J13" s="13">
        <f>SUM(I443)</f>
        <v>64530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1264.76</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485032.55</v>
      </c>
      <c r="G19" s="38">
        <f>SUM(G9:G18)</f>
        <v>159676.89000000001</v>
      </c>
      <c r="H19" s="38">
        <f>SUM(H9:H18)</f>
        <v>56521.659999999996</v>
      </c>
      <c r="I19" s="38">
        <f>SUM(I9:I18)</f>
        <v>0</v>
      </c>
      <c r="J19" s="38">
        <f>SUM(J9:J18)</f>
        <v>425984.45000000007</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f>146844.4</f>
        <v>146844.4</v>
      </c>
      <c r="H22" s="18">
        <f>2604.65+4673.96+8.89+61.99+6028.25+29645.35</f>
        <v>43023.09</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71875.86</f>
        <v>71875.86</v>
      </c>
      <c r="G24" s="18">
        <f>4975.59+485.4</f>
        <v>5460.99</v>
      </c>
      <c r="H24" s="18"/>
      <c r="I24" s="18"/>
      <c r="J24" s="13">
        <f>SUM(I451)</f>
        <v>64530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3000.54+229.55+78.56</f>
        <v>3308.65</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498.04</f>
        <v>498.04</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f>3788.43</f>
        <v>3788.43</v>
      </c>
      <c r="H30" s="18">
        <f>7617.97+880.6+5000</f>
        <v>13498.57</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75682.549999999988</v>
      </c>
      <c r="G32" s="38">
        <f>SUM(G22:G31)</f>
        <v>156093.81999999998</v>
      </c>
      <c r="H32" s="38">
        <f>SUM(H22:H31)</f>
        <v>56521.659999999996</v>
      </c>
      <c r="I32" s="38">
        <f>SUM(I22:I31)</f>
        <v>0</v>
      </c>
      <c r="J32" s="38">
        <f>SUM(J22:J31)</f>
        <v>64530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f>1264.76</f>
        <v>1264.76</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f>103882.35</f>
        <v>103882.35</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f>32545.2-30226.89</f>
        <v>2318.3100000000013</v>
      </c>
      <c r="H48" s="18"/>
      <c r="I48" s="18"/>
      <c r="J48" s="13">
        <f>SUM(I460)</f>
        <v>361454.45000000007</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198466.31+107001.34</f>
        <v>305467.65000000002</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409350</v>
      </c>
      <c r="G51" s="38">
        <f>SUM(G35:G50)</f>
        <v>3583.0700000000015</v>
      </c>
      <c r="H51" s="38">
        <f>SUM(H35:H50)</f>
        <v>0</v>
      </c>
      <c r="I51" s="38">
        <f>SUM(I35:I50)</f>
        <v>0</v>
      </c>
      <c r="J51" s="38">
        <f>SUM(J35:J50)</f>
        <v>361454.45000000007</v>
      </c>
      <c r="K51" s="42" t="s">
        <v>288</v>
      </c>
      <c r="L51" s="42" t="s">
        <v>288</v>
      </c>
      <c r="N51" s="130"/>
    </row>
    <row r="52" spans="1:14" s="3" customFormat="1" ht="12.2" customHeight="1" thickTop="1" x14ac:dyDescent="0.15">
      <c r="A52" s="35" t="s">
        <v>455</v>
      </c>
      <c r="B52" s="36" t="s">
        <v>289</v>
      </c>
      <c r="C52" s="6">
        <v>37</v>
      </c>
      <c r="D52" s="36" t="s">
        <v>653</v>
      </c>
      <c r="E52" s="36"/>
      <c r="F52" s="38">
        <f>F51+F32</f>
        <v>485032.55</v>
      </c>
      <c r="G52" s="38">
        <f>G51+G32</f>
        <v>159676.88999999998</v>
      </c>
      <c r="H52" s="38">
        <f>H51+H32</f>
        <v>56521.659999999996</v>
      </c>
      <c r="I52" s="38">
        <f>I51+I32</f>
        <v>0</v>
      </c>
      <c r="J52" s="38">
        <f>J51+J32</f>
        <v>425984.45000000007</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f>1907836</f>
        <v>1907836</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1907836</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2159.96</v>
      </c>
      <c r="G96" s="18"/>
      <c r="H96" s="18"/>
      <c r="I96" s="18"/>
      <c r="J96" s="18">
        <v>435</v>
      </c>
      <c r="K96" s="23" t="s">
        <v>288</v>
      </c>
      <c r="L96" s="23" t="s">
        <v>288</v>
      </c>
      <c r="M96" s="8"/>
      <c r="N96" s="164"/>
    </row>
    <row r="97" spans="1:14" s="3" customFormat="1" ht="12.2" customHeight="1" x14ac:dyDescent="0.15">
      <c r="A97" s="1" t="s">
        <v>503</v>
      </c>
      <c r="B97" s="2" t="s">
        <v>315</v>
      </c>
      <c r="C97" s="6">
        <v>12</v>
      </c>
      <c r="D97" s="2" t="s">
        <v>430</v>
      </c>
      <c r="E97" s="6">
        <v>1600</v>
      </c>
      <c r="F97" s="23" t="s">
        <v>288</v>
      </c>
      <c r="G97" s="18">
        <f>8606.32</f>
        <v>8606.32</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7658.07</v>
      </c>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-1983.9</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329.89</v>
      </c>
      <c r="G110" s="18"/>
      <c r="H110" s="18">
        <f>139.48</f>
        <v>139.47999999999999</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8164.0199999999995</v>
      </c>
      <c r="G111" s="38">
        <f>SUM(G96:G110)</f>
        <v>8606.32</v>
      </c>
      <c r="H111" s="38">
        <f>SUM(H96:H110)</f>
        <v>139.47999999999999</v>
      </c>
      <c r="I111" s="38">
        <f>SUM(I96:I110)</f>
        <v>0</v>
      </c>
      <c r="J111" s="38">
        <f>SUM(J96:J110)</f>
        <v>435</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1916000.02</v>
      </c>
      <c r="G112" s="38">
        <f>G60+G111</f>
        <v>8606.32</v>
      </c>
      <c r="H112" s="38">
        <f>H60+H79+H94+H111</f>
        <v>139.47999999999999</v>
      </c>
      <c r="I112" s="38">
        <f>I60+I111</f>
        <v>0</v>
      </c>
      <c r="J112" s="38">
        <f>J60+J111</f>
        <v>435</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f>617662.29</f>
        <v>617662.29</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f>169811</f>
        <v>169811</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787473.29</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f>3240.79</f>
        <v>3240.79</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f>3314.48</f>
        <v>3314.48</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f>322.2</f>
        <v>322.2</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f>239.4</f>
        <v>239.4</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6877.47</v>
      </c>
      <c r="G136" s="38">
        <f>SUM(G123:G135)</f>
        <v>239.4</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794350.76</v>
      </c>
      <c r="G140" s="38">
        <f>G121+SUM(G136:G137)</f>
        <v>239.4</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f>3679.76</f>
        <v>3679.76</v>
      </c>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3679.76</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9084.8+79240.07</f>
        <v>88324.87000000001</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4125.82+411.08+13382.83+61.99+1834.57+8296.93+9800</f>
        <v>37913.22</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35937.48+7939.82</f>
        <v>43877.3</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857.8+10351.11+23952.08</f>
        <v>35160.990000000005</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f>25180.97+3896.64+751.06</f>
        <v>29828.670000000002</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15326.23+24139.04</f>
        <v>39465.270000000004</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43877.3</v>
      </c>
      <c r="H163" s="38">
        <f>SUM(H150:H162)</f>
        <v>230693.02000000002</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4560.6099999999997</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4560.6099999999997</v>
      </c>
      <c r="G170" s="38">
        <f>G147+G163+SUM(G164:G169)</f>
        <v>43877.3</v>
      </c>
      <c r="H170" s="38">
        <f>H147+H163+SUM(H164:H169)</f>
        <v>234372.78000000003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108422</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v>-4560.6099999999997</v>
      </c>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-4560.6099999999997</v>
      </c>
      <c r="G184" s="38">
        <f>SUM(G180:G183)</f>
        <v>0</v>
      </c>
      <c r="H184" s="38">
        <f>SUM(H180:H183)</f>
        <v>0</v>
      </c>
      <c r="I184" s="38">
        <f>SUM(I180:I183)</f>
        <v>0</v>
      </c>
      <c r="J184" s="38">
        <f>SUM(J180:J183)</f>
        <v>108422</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64530</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64530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59969.39</v>
      </c>
      <c r="G193" s="38">
        <f>G184+SUM(G189:G192)</f>
        <v>0</v>
      </c>
      <c r="H193" s="38">
        <f>+H184+SUM(H189:H192)</f>
        <v>0</v>
      </c>
      <c r="I193" s="38">
        <f>I178+I184+SUM(I189:I192)</f>
        <v>0</v>
      </c>
      <c r="J193" s="38">
        <f>J184</f>
        <v>108422</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2774880.7800000003</v>
      </c>
      <c r="G194" s="38">
        <f>G112+G140+G170+G193</f>
        <v>52723.020000000004</v>
      </c>
      <c r="H194" s="38">
        <f>H112+H140+H170+H193</f>
        <v>234512.26000000004</v>
      </c>
      <c r="I194" s="38">
        <f>I112+I140+I170+I193</f>
        <v>0</v>
      </c>
      <c r="J194" s="38">
        <f>J112+J140+J193</f>
        <v>108857</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346716.92</f>
        <v>346716.92</v>
      </c>
      <c r="G198" s="18">
        <f>198501.75</f>
        <v>198501.75</v>
      </c>
      <c r="H198" s="18">
        <f>18931.94+2975.73+201.53</f>
        <v>22109.199999999997</v>
      </c>
      <c r="I198" s="18">
        <f>9821.31</f>
        <v>9821.31</v>
      </c>
      <c r="J198" s="18"/>
      <c r="K198" s="18">
        <f>637.81</f>
        <v>637.80999999999995</v>
      </c>
      <c r="L198" s="13">
        <f>SUM(F198:K198)</f>
        <v>577786.99</v>
      </c>
      <c r="M198" s="8"/>
      <c r="N198" s="164"/>
    </row>
    <row r="199" spans="1:14" s="3" customFormat="1" ht="12.2" customHeight="1" x14ac:dyDescent="0.15">
      <c r="A199" s="1" t="s">
        <v>439</v>
      </c>
      <c r="B199" s="2" t="s">
        <v>341</v>
      </c>
      <c r="C199" s="2" t="s">
        <v>291</v>
      </c>
      <c r="D199" s="2" t="s">
        <v>431</v>
      </c>
      <c r="E199" s="6">
        <v>1200</v>
      </c>
      <c r="F199" s="18">
        <f>130529.63</f>
        <v>130529.63</v>
      </c>
      <c r="G199" s="18">
        <f>21680.07</f>
        <v>21680.07</v>
      </c>
      <c r="H199" s="18">
        <f>1602.21</f>
        <v>1602.21</v>
      </c>
      <c r="I199" s="18">
        <f>297.43</f>
        <v>297.43</v>
      </c>
      <c r="J199" s="18"/>
      <c r="K199" s="18">
        <f>45502.69</f>
        <v>45502.69</v>
      </c>
      <c r="L199" s="13">
        <f>SUM(F199:K199)</f>
        <v>199612.03</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f>16.36</f>
        <v>16.36</v>
      </c>
      <c r="H201" s="18">
        <f>3700</f>
        <v>3700</v>
      </c>
      <c r="I201" s="18"/>
      <c r="J201" s="18"/>
      <c r="K201" s="18"/>
      <c r="L201" s="13">
        <f>SUM(F201:K201)</f>
        <v>3716.36</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85555.9</f>
        <v>85555.9</v>
      </c>
      <c r="G203" s="18">
        <f>25163.67</f>
        <v>25163.67</v>
      </c>
      <c r="H203" s="18">
        <f>77439.47</f>
        <v>77439.47</v>
      </c>
      <c r="I203" s="18">
        <f>1783.63</f>
        <v>1783.63</v>
      </c>
      <c r="J203" s="18">
        <f>429.97</f>
        <v>429.97</v>
      </c>
      <c r="K203" s="18">
        <f>2064</f>
        <v>2064</v>
      </c>
      <c r="L203" s="13">
        <f t="shared" ref="L203:L209" si="0">SUM(F203:K203)</f>
        <v>192436.63999999998</v>
      </c>
      <c r="M203" s="8"/>
      <c r="N203" s="164"/>
    </row>
    <row r="204" spans="1:14" s="3" customFormat="1" ht="12.2" customHeight="1" x14ac:dyDescent="0.15">
      <c r="A204" s="1" t="s">
        <v>443</v>
      </c>
      <c r="B204" s="2" t="s">
        <v>341</v>
      </c>
      <c r="C204" s="2" t="s">
        <v>295</v>
      </c>
      <c r="D204" s="2" t="s">
        <v>431</v>
      </c>
      <c r="E204" s="6">
        <v>2200</v>
      </c>
      <c r="F204" s="18">
        <f>38737.87</f>
        <v>38737.870000000003</v>
      </c>
      <c r="G204" s="18">
        <f>3361.32</f>
        <v>3361.32</v>
      </c>
      <c r="H204" s="18">
        <f>16731.83+72.25</f>
        <v>16804.080000000002</v>
      </c>
      <c r="I204" s="18">
        <f>1959.52</f>
        <v>1959.52</v>
      </c>
      <c r="J204" s="18"/>
      <c r="K204" s="18">
        <f>317.32+5600</f>
        <v>5917.32</v>
      </c>
      <c r="L204" s="13">
        <f t="shared" si="0"/>
        <v>66780.11</v>
      </c>
      <c r="M204" s="8"/>
      <c r="N204" s="164"/>
    </row>
    <row r="205" spans="1:14" s="3" customFormat="1" ht="12.2" customHeight="1" x14ac:dyDescent="0.15">
      <c r="A205" s="1" t="s">
        <v>444</v>
      </c>
      <c r="B205" s="2" t="s">
        <v>341</v>
      </c>
      <c r="C205" s="2" t="s">
        <v>296</v>
      </c>
      <c r="D205" s="2" t="s">
        <v>431</v>
      </c>
      <c r="E205" s="6">
        <v>2300</v>
      </c>
      <c r="F205" s="18">
        <f>4786.62</f>
        <v>4786.62</v>
      </c>
      <c r="G205" s="18">
        <f>855.08</f>
        <v>855.08</v>
      </c>
      <c r="H205" s="18">
        <f>124329.22+2985.79</f>
        <v>127315.01</v>
      </c>
      <c r="I205" s="18">
        <f>480.19</f>
        <v>480.19</v>
      </c>
      <c r="J205" s="18"/>
      <c r="K205" s="18">
        <f>2748.15</f>
        <v>2748.15</v>
      </c>
      <c r="L205" s="13">
        <f t="shared" si="0"/>
        <v>136185.04999999999</v>
      </c>
      <c r="M205" s="8"/>
      <c r="N205" s="164"/>
    </row>
    <row r="206" spans="1:14" s="3" customFormat="1" ht="12.2" customHeight="1" x14ac:dyDescent="0.15">
      <c r="A206" s="1" t="s">
        <v>445</v>
      </c>
      <c r="B206" s="2" t="s">
        <v>341</v>
      </c>
      <c r="C206" s="2" t="s">
        <v>297</v>
      </c>
      <c r="D206" s="2" t="s">
        <v>431</v>
      </c>
      <c r="E206" s="6">
        <v>2400</v>
      </c>
      <c r="F206" s="18">
        <f>116220.75</f>
        <v>116220.75</v>
      </c>
      <c r="G206" s="18">
        <f>70479.23</f>
        <v>70479.23</v>
      </c>
      <c r="H206" s="18">
        <f>152+4627.63</f>
        <v>4779.63</v>
      </c>
      <c r="I206" s="18">
        <f>1746.99</f>
        <v>1746.99</v>
      </c>
      <c r="J206" s="18">
        <f>246.75</f>
        <v>246.75</v>
      </c>
      <c r="K206" s="18">
        <f>2410</f>
        <v>2410</v>
      </c>
      <c r="L206" s="13">
        <f t="shared" si="0"/>
        <v>195883.34999999998</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f>48380.76</f>
        <v>48380.76</v>
      </c>
      <c r="G208" s="18">
        <f>7425.2</f>
        <v>7425.2</v>
      </c>
      <c r="H208" s="18">
        <f>5936.79+29298.36+5360.66</f>
        <v>40595.81</v>
      </c>
      <c r="I208" s="18">
        <f>31958.44</f>
        <v>31958.44</v>
      </c>
      <c r="J208" s="18">
        <f>1089.46</f>
        <v>1089.46</v>
      </c>
      <c r="K208" s="18">
        <f>1233.95</f>
        <v>1233.95</v>
      </c>
      <c r="L208" s="13">
        <f t="shared" si="0"/>
        <v>130683.62</v>
      </c>
      <c r="M208" s="8"/>
      <c r="N208" s="164"/>
    </row>
    <row r="209" spans="1:14" s="3" customFormat="1" ht="12.2" customHeight="1" x14ac:dyDescent="0.15">
      <c r="A209" s="1" t="s">
        <v>448</v>
      </c>
      <c r="B209" s="2" t="s">
        <v>341</v>
      </c>
      <c r="C209" s="2" t="s">
        <v>300</v>
      </c>
      <c r="D209" s="2" t="s">
        <v>431</v>
      </c>
      <c r="E209" s="6">
        <v>2700</v>
      </c>
      <c r="F209" s="18">
        <f>33485.78</f>
        <v>33485.78</v>
      </c>
      <c r="G209" s="18">
        <f>4236.06</f>
        <v>4236.0600000000004</v>
      </c>
      <c r="H209" s="18">
        <f>3660.69+6221.36+2209.7</f>
        <v>12091.75</v>
      </c>
      <c r="I209" s="18">
        <f>7646.1</f>
        <v>7646.1</v>
      </c>
      <c r="J209" s="18">
        <f>41599.8</f>
        <v>41599.800000000003</v>
      </c>
      <c r="K209" s="18">
        <f>33060.59</f>
        <v>33060.589999999997</v>
      </c>
      <c r="L209" s="13">
        <f t="shared" si="0"/>
        <v>132120.07999999999</v>
      </c>
      <c r="M209" s="8"/>
      <c r="N209" s="164"/>
    </row>
    <row r="210" spans="1:14" s="3" customFormat="1" ht="12.2" customHeight="1" x14ac:dyDescent="0.15">
      <c r="A210" s="1" t="s">
        <v>449</v>
      </c>
      <c r="B210" s="2" t="s">
        <v>341</v>
      </c>
      <c r="C210" s="2" t="s">
        <v>343</v>
      </c>
      <c r="D210" s="2" t="s">
        <v>431</v>
      </c>
      <c r="E210" s="6">
        <v>2800</v>
      </c>
      <c r="F210" s="18"/>
      <c r="G210" s="18"/>
      <c r="H210" s="18">
        <f>3162.56</f>
        <v>3162.56</v>
      </c>
      <c r="I210" s="18">
        <f>21192.75</f>
        <v>21192.75</v>
      </c>
      <c r="J210" s="18">
        <f>16001.44</f>
        <v>16001.44</v>
      </c>
      <c r="K210" s="18"/>
      <c r="L210" s="13">
        <f>SUM(F210:K210)</f>
        <v>40356.75</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804414.23</v>
      </c>
      <c r="G212" s="38">
        <f t="shared" si="1"/>
        <v>331718.74</v>
      </c>
      <c r="H212" s="38">
        <f t="shared" si="1"/>
        <v>309599.72000000003</v>
      </c>
      <c r="I212" s="38">
        <f t="shared" si="1"/>
        <v>76886.359999999986</v>
      </c>
      <c r="J212" s="38">
        <f t="shared" si="1"/>
        <v>59367.420000000006</v>
      </c>
      <c r="K212" s="38">
        <f t="shared" si="1"/>
        <v>93574.51</v>
      </c>
      <c r="L212" s="38">
        <f t="shared" si="1"/>
        <v>1675560.98</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f>651892.89</f>
        <v>651892.89</v>
      </c>
      <c r="I234" s="18"/>
      <c r="J234" s="18"/>
      <c r="K234" s="18"/>
      <c r="L234" s="13">
        <f>SUM(F234:K234)</f>
        <v>651892.89</v>
      </c>
      <c r="M234" s="8"/>
      <c r="N234" s="164"/>
    </row>
    <row r="235" spans="1:14" s="3" customFormat="1" ht="12.2" customHeight="1" x14ac:dyDescent="0.15">
      <c r="A235" s="1" t="s">
        <v>439</v>
      </c>
      <c r="B235" s="2" t="s">
        <v>350</v>
      </c>
      <c r="C235" s="2" t="s">
        <v>291</v>
      </c>
      <c r="D235" s="2" t="s">
        <v>431</v>
      </c>
      <c r="E235" s="6">
        <v>1200</v>
      </c>
      <c r="F235" s="18"/>
      <c r="G235" s="18"/>
      <c r="H235" s="18">
        <f>13982.51+55110.75</f>
        <v>69093.259999999995</v>
      </c>
      <c r="I235" s="18"/>
      <c r="J235" s="18"/>
      <c r="K235" s="18"/>
      <c r="L235" s="13">
        <f>SUM(F235:K235)</f>
        <v>69093.259999999995</v>
      </c>
      <c r="M235" s="8"/>
      <c r="N235" s="164"/>
    </row>
    <row r="236" spans="1:14" s="3" customFormat="1" ht="12.2" customHeight="1" x14ac:dyDescent="0.15">
      <c r="A236" s="1" t="s">
        <v>440</v>
      </c>
      <c r="B236" s="2" t="s">
        <v>350</v>
      </c>
      <c r="C236" s="2" t="s">
        <v>292</v>
      </c>
      <c r="D236" s="2" t="s">
        <v>431</v>
      </c>
      <c r="E236" s="6">
        <v>1300</v>
      </c>
      <c r="F236" s="18"/>
      <c r="G236" s="18"/>
      <c r="H236" s="18">
        <f>11000</f>
        <v>11000</v>
      </c>
      <c r="I236" s="18"/>
      <c r="J236" s="18"/>
      <c r="K236" s="18"/>
      <c r="L236" s="13">
        <f>SUM(F236:K236)</f>
        <v>11000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f>635.25</f>
        <v>635.25</v>
      </c>
      <c r="I239" s="18"/>
      <c r="J239" s="18"/>
      <c r="K239" s="18"/>
      <c r="L239" s="13">
        <f t="shared" ref="L239:L245" si="4">SUM(F239:K239)</f>
        <v>635.25</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f>1524.3</f>
        <v>1524.3</v>
      </c>
      <c r="G241" s="18">
        <f>118.82</f>
        <v>118.82</v>
      </c>
      <c r="H241" s="18">
        <f>67495.61+1189.93</f>
        <v>68685.539999999994</v>
      </c>
      <c r="I241" s="18">
        <f>9.31</f>
        <v>9.31</v>
      </c>
      <c r="J241" s="18"/>
      <c r="K241" s="18"/>
      <c r="L241" s="13">
        <f t="shared" si="4"/>
        <v>70337.969999999987</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f>17915.63</f>
        <v>17915.63</v>
      </c>
      <c r="G245" s="18">
        <f>2074.2</f>
        <v>2074.1999999999998</v>
      </c>
      <c r="H245" s="18">
        <f>2560.58+3841.64+1650.24</f>
        <v>8052.4599999999991</v>
      </c>
      <c r="I245" s="18">
        <f>4513.07</f>
        <v>4513.07</v>
      </c>
      <c r="J245" s="18">
        <f>23400.2</f>
        <v>23400.2</v>
      </c>
      <c r="K245" s="18">
        <f>18353.4</f>
        <v>18353.400000000001</v>
      </c>
      <c r="L245" s="13">
        <f t="shared" si="4"/>
        <v>74308.959999999992</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19439.93</v>
      </c>
      <c r="G248" s="38">
        <f t="shared" si="5"/>
        <v>2193.02</v>
      </c>
      <c r="H248" s="38">
        <f t="shared" si="5"/>
        <v>809359.4</v>
      </c>
      <c r="I248" s="38">
        <f t="shared" si="5"/>
        <v>4522.38</v>
      </c>
      <c r="J248" s="38">
        <f t="shared" si="5"/>
        <v>23400.2</v>
      </c>
      <c r="K248" s="38">
        <f t="shared" si="5"/>
        <v>18353.400000000001</v>
      </c>
      <c r="L248" s="38">
        <f t="shared" si="5"/>
        <v>877268.33</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823854.16</v>
      </c>
      <c r="G258" s="38">
        <f t="shared" si="8"/>
        <v>333911.76</v>
      </c>
      <c r="H258" s="38">
        <f t="shared" si="8"/>
        <v>1118959.1200000001</v>
      </c>
      <c r="I258" s="38">
        <f t="shared" si="8"/>
        <v>81408.739999999991</v>
      </c>
      <c r="J258" s="38">
        <f t="shared" si="8"/>
        <v>82767.62000000001</v>
      </c>
      <c r="K258" s="38">
        <f t="shared" si="8"/>
        <v>111927.91</v>
      </c>
      <c r="L258" s="38">
        <f t="shared" si="8"/>
        <v>2552829.31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t="s">
        <v>286</v>
      </c>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108422</v>
      </c>
      <c r="L267" s="13">
        <f t="shared" si="9"/>
        <v>108422</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f>6628.13</f>
        <v>6628.13</v>
      </c>
      <c r="L269" s="13">
        <f t="shared" si="9"/>
        <v>6628.13</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115050.13</v>
      </c>
      <c r="L271" s="38">
        <f t="shared" si="9"/>
        <v>115050.13</v>
      </c>
      <c r="M271" s="8"/>
      <c r="N271" s="164"/>
    </row>
    <row r="272" spans="1:14" s="33" customFormat="1" ht="12.2" customHeight="1" thickTop="1" x14ac:dyDescent="0.2">
      <c r="A272" s="40" t="s">
        <v>464</v>
      </c>
      <c r="B272" s="37">
        <v>10</v>
      </c>
      <c r="C272" s="37">
        <v>18</v>
      </c>
      <c r="D272" s="36" t="s">
        <v>431</v>
      </c>
      <c r="E272" s="37"/>
      <c r="F272" s="39">
        <f t="shared" ref="F272:L272" si="11">F258+F271</f>
        <v>823854.16</v>
      </c>
      <c r="G272" s="39">
        <f t="shared" si="11"/>
        <v>333911.76</v>
      </c>
      <c r="H272" s="39">
        <f t="shared" si="11"/>
        <v>1118959.1200000001</v>
      </c>
      <c r="I272" s="39">
        <f t="shared" si="11"/>
        <v>81408.739999999991</v>
      </c>
      <c r="J272" s="39">
        <f t="shared" si="11"/>
        <v>82767.62000000001</v>
      </c>
      <c r="K272" s="39">
        <f t="shared" si="11"/>
        <v>226978.04</v>
      </c>
      <c r="L272" s="39">
        <f t="shared" si="11"/>
        <v>2667879.44</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42400</f>
        <v>42400</v>
      </c>
      <c r="G277" s="18">
        <f>36840.07</f>
        <v>36840.07</v>
      </c>
      <c r="H277" s="18"/>
      <c r="I277" s="18">
        <f>227</f>
        <v>227</v>
      </c>
      <c r="J277" s="18"/>
      <c r="K277" s="18"/>
      <c r="L277" s="13">
        <f>SUM(F277:K277)</f>
        <v>79467.070000000007</v>
      </c>
      <c r="M277" s="8"/>
      <c r="N277" s="164"/>
    </row>
    <row r="278" spans="1:14" s="3" customFormat="1" ht="12.2" customHeight="1" x14ac:dyDescent="0.15">
      <c r="A278" s="1" t="s">
        <v>439</v>
      </c>
      <c r="B278" s="2" t="s">
        <v>357</v>
      </c>
      <c r="C278" s="2" t="s">
        <v>291</v>
      </c>
      <c r="D278" s="2" t="s">
        <v>431</v>
      </c>
      <c r="E278" s="6">
        <v>1200</v>
      </c>
      <c r="F278" s="18">
        <f>19661.77</f>
        <v>19661.77</v>
      </c>
      <c r="G278" s="18">
        <f>1862.94</f>
        <v>1862.94</v>
      </c>
      <c r="H278" s="18">
        <f>9513.59+274.05</f>
        <v>9787.64</v>
      </c>
      <c r="I278" s="18"/>
      <c r="J278" s="18"/>
      <c r="K278" s="18"/>
      <c r="L278" s="13">
        <f>SUM(F278:K278)</f>
        <v>31312.35</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f>8887.5</f>
        <v>8887.5</v>
      </c>
      <c r="G280" s="18">
        <f>1296.12</f>
        <v>1296.1199999999999</v>
      </c>
      <c r="H280" s="18">
        <f>1200</f>
        <v>1200</v>
      </c>
      <c r="I280" s="18"/>
      <c r="J280" s="18"/>
      <c r="K280" s="18"/>
      <c r="L280" s="13">
        <f>SUM(F280:K280)</f>
        <v>11383.619999999999</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f>21622.36+3896.64</f>
        <v>25519</v>
      </c>
      <c r="I282" s="18">
        <f>139.48+729.77+751.06</f>
        <v>1620.31</v>
      </c>
      <c r="J282" s="18">
        <f>7743</f>
        <v>7743</v>
      </c>
      <c r="K282" s="18"/>
      <c r="L282" s="13">
        <f t="shared" ref="L282:L288" si="12">SUM(F282:K282)</f>
        <v>34882.31</v>
      </c>
      <c r="M282" s="8"/>
      <c r="N282" s="164"/>
    </row>
    <row r="283" spans="1:14" s="3" customFormat="1" ht="12.2" customHeight="1" x14ac:dyDescent="0.15">
      <c r="A283" s="1" t="s">
        <v>443</v>
      </c>
      <c r="B283" s="2" t="s">
        <v>357</v>
      </c>
      <c r="C283" s="2" t="s">
        <v>295</v>
      </c>
      <c r="D283" s="2" t="s">
        <v>431</v>
      </c>
      <c r="E283" s="6">
        <v>2200</v>
      </c>
      <c r="F283" s="18">
        <f>7701.45</f>
        <v>7701.45</v>
      </c>
      <c r="G283" s="18">
        <f>9265.15</f>
        <v>9265.15</v>
      </c>
      <c r="H283" s="18">
        <f>27037</f>
        <v>27037</v>
      </c>
      <c r="I283" s="18">
        <f>1337.06</f>
        <v>1337.06</v>
      </c>
      <c r="J283" s="18"/>
      <c r="K283" s="18">
        <f>1017</f>
        <v>1017</v>
      </c>
      <c r="L283" s="13">
        <f t="shared" si="12"/>
        <v>46357.659999999996</v>
      </c>
      <c r="M283" s="8"/>
      <c r="N283" s="164"/>
    </row>
    <row r="284" spans="1:14" s="3" customFormat="1" ht="12.2" customHeight="1" x14ac:dyDescent="0.15">
      <c r="A284" s="1" t="s">
        <v>444</v>
      </c>
      <c r="B284" s="2" t="s">
        <v>357</v>
      </c>
      <c r="C284" s="2" t="s">
        <v>296</v>
      </c>
      <c r="D284" s="2" t="s">
        <v>431</v>
      </c>
      <c r="E284" s="6">
        <v>2300</v>
      </c>
      <c r="F284" s="18">
        <f>375</f>
        <v>375</v>
      </c>
      <c r="G284" s="18">
        <f>102.34</f>
        <v>102.34</v>
      </c>
      <c r="H284" s="18"/>
      <c r="I284" s="18"/>
      <c r="J284" s="18"/>
      <c r="K284" s="18"/>
      <c r="L284" s="13">
        <f t="shared" si="12"/>
        <v>477.34000000000003</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f>4551.15</f>
        <v>4551.1499999999996</v>
      </c>
      <c r="L286" s="13">
        <f t="shared" si="12"/>
        <v>4551.1499999999996</v>
      </c>
      <c r="M286" s="8"/>
      <c r="N286" s="164"/>
    </row>
    <row r="287" spans="1:14" s="3" customFormat="1" ht="12.2" customHeight="1" x14ac:dyDescent="0.15">
      <c r="A287" s="1" t="s">
        <v>447</v>
      </c>
      <c r="B287" s="2" t="s">
        <v>357</v>
      </c>
      <c r="C287" s="2" t="s">
        <v>299</v>
      </c>
      <c r="D287" s="2" t="s">
        <v>431</v>
      </c>
      <c r="E287" s="6">
        <v>2600</v>
      </c>
      <c r="F287" s="18"/>
      <c r="G287" s="18"/>
      <c r="H287" s="18">
        <f>25180.97</f>
        <v>25180.97</v>
      </c>
      <c r="I287" s="18"/>
      <c r="J287" s="18"/>
      <c r="K287" s="18"/>
      <c r="L287" s="13">
        <f t="shared" si="12"/>
        <v>25180.97</v>
      </c>
      <c r="M287" s="8"/>
      <c r="N287" s="164"/>
    </row>
    <row r="288" spans="1:14" s="3" customFormat="1" ht="12.2" customHeight="1" x14ac:dyDescent="0.15">
      <c r="A288" s="1" t="s">
        <v>448</v>
      </c>
      <c r="B288" s="2" t="s">
        <v>357</v>
      </c>
      <c r="C288" s="2" t="s">
        <v>300</v>
      </c>
      <c r="D288" s="2" t="s">
        <v>431</v>
      </c>
      <c r="E288" s="6">
        <v>2700</v>
      </c>
      <c r="F288" s="18">
        <f>710.44</f>
        <v>710.44</v>
      </c>
      <c r="G288" s="18">
        <f>54.35</f>
        <v>54.35</v>
      </c>
      <c r="H288" s="18"/>
      <c r="I288" s="18">
        <f>135</f>
        <v>135</v>
      </c>
      <c r="J288" s="18"/>
      <c r="K288" s="18"/>
      <c r="L288" s="13">
        <f t="shared" si="12"/>
        <v>899.79000000000008</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79736.160000000003</v>
      </c>
      <c r="G291" s="39">
        <f t="shared" si="13"/>
        <v>49420.97</v>
      </c>
      <c r="H291" s="39">
        <f t="shared" si="13"/>
        <v>88724.61</v>
      </c>
      <c r="I291" s="39">
        <f t="shared" si="13"/>
        <v>3319.37</v>
      </c>
      <c r="J291" s="39">
        <f t="shared" si="13"/>
        <v>7743</v>
      </c>
      <c r="K291" s="39">
        <f t="shared" si="13"/>
        <v>5568.15</v>
      </c>
      <c r="L291" s="38">
        <f t="shared" si="13"/>
        <v>234512.26</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79736.160000000003</v>
      </c>
      <c r="G339" s="38">
        <f t="shared" si="20"/>
        <v>49420.97</v>
      </c>
      <c r="H339" s="38">
        <f t="shared" si="20"/>
        <v>88724.61</v>
      </c>
      <c r="I339" s="38">
        <f t="shared" si="20"/>
        <v>3319.37</v>
      </c>
      <c r="J339" s="38">
        <f t="shared" si="20"/>
        <v>7743</v>
      </c>
      <c r="K339" s="38">
        <f t="shared" si="20"/>
        <v>5568.15</v>
      </c>
      <c r="L339" s="38">
        <f t="shared" si="20"/>
        <v>234512.26</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79736.160000000003</v>
      </c>
      <c r="G353" s="38">
        <f>G339</f>
        <v>49420.97</v>
      </c>
      <c r="H353" s="38">
        <f>H339</f>
        <v>88724.61</v>
      </c>
      <c r="I353" s="38">
        <f>I339</f>
        <v>3319.37</v>
      </c>
      <c r="J353" s="38">
        <f>J339</f>
        <v>7743</v>
      </c>
      <c r="K353" s="38">
        <f>K339+K352</f>
        <v>5568.15</v>
      </c>
      <c r="L353" s="38">
        <f>L339+L352</f>
        <v>234512.26</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f>466.11+2852.24+57852.1</f>
        <v>61170.45</v>
      </c>
      <c r="I359" s="18">
        <f>648.11+344.53+7939.82</f>
        <v>8932.4599999999991</v>
      </c>
      <c r="J359" s="18">
        <f>12847</f>
        <v>12847</v>
      </c>
      <c r="K359" s="18"/>
      <c r="L359" s="13">
        <f>SUM(F359:K359)</f>
        <v>82949.91</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61170.45</v>
      </c>
      <c r="I363" s="38">
        <f t="shared" si="22"/>
        <v>8932.4599999999991</v>
      </c>
      <c r="J363" s="38">
        <f t="shared" si="22"/>
        <v>12847</v>
      </c>
      <c r="K363" s="38">
        <f t="shared" si="22"/>
        <v>0</v>
      </c>
      <c r="L363" s="38">
        <f t="shared" si="22"/>
        <v>82949.91</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7939.82</f>
        <v>7939.82</v>
      </c>
      <c r="G368" s="18"/>
      <c r="H368" s="18"/>
      <c r="I368" s="13">
        <f>SUM(F368:H368)</f>
        <v>7939.82</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648.11+344.53</f>
        <v>992.64</v>
      </c>
      <c r="G369" s="53"/>
      <c r="H369" s="53"/>
      <c r="I369" s="13">
        <f>SUM(F369:H369)</f>
        <v>992.64</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8932.4599999999991</v>
      </c>
      <c r="G370" s="38">
        <f>SUM(G368:G369)</f>
        <v>0</v>
      </c>
      <c r="H370" s="38">
        <f>SUM(H368:H369)</f>
        <v>0</v>
      </c>
      <c r="I370" s="38">
        <f>SUM(I368:I369)</f>
        <v>8932.4599999999991</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v>0</v>
      </c>
      <c r="G391" s="18">
        <v>103422</v>
      </c>
      <c r="H391" s="18">
        <f>12.02</f>
        <v>12.02</v>
      </c>
      <c r="I391" s="18"/>
      <c r="J391" s="23" t="s">
        <v>288</v>
      </c>
      <c r="K391" s="23" t="s">
        <v>288</v>
      </c>
      <c r="L391" s="13">
        <f t="shared" si="25"/>
        <v>103434.02</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v>0</v>
      </c>
      <c r="G393" s="18">
        <v>5000</v>
      </c>
      <c r="H393" s="18">
        <f>26.78</f>
        <v>26.78</v>
      </c>
      <c r="I393" s="18"/>
      <c r="J393" s="23" t="s">
        <v>288</v>
      </c>
      <c r="K393" s="23" t="s">
        <v>288</v>
      </c>
      <c r="L393" s="13">
        <f t="shared" si="25"/>
        <v>5026.78</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108422</v>
      </c>
      <c r="H394" s="97">
        <f>SUM(H388:H393)</f>
        <v>38.799999999999997</v>
      </c>
      <c r="I394" s="54">
        <f>SUM(I388:I393)</f>
        <v>0</v>
      </c>
      <c r="J394" s="42" t="s">
        <v>288</v>
      </c>
      <c r="K394" s="42" t="s">
        <v>288</v>
      </c>
      <c r="L394" s="38">
        <f>SUM(L388:L393)</f>
        <v>108460.8</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f>48.27+18.71</f>
        <v>66.98</v>
      </c>
      <c r="I397" s="18"/>
      <c r="J397" s="23" t="s">
        <v>288</v>
      </c>
      <c r="K397" s="23" t="s">
        <v>288</v>
      </c>
      <c r="L397" s="13">
        <f t="shared" si="26"/>
        <v>66.98</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f>324.03</f>
        <v>324.02999999999997</v>
      </c>
      <c r="I399" s="18"/>
      <c r="J399" s="23" t="s">
        <v>288</v>
      </c>
      <c r="K399" s="23" t="s">
        <v>288</v>
      </c>
      <c r="L399" s="13">
        <f t="shared" si="26"/>
        <v>324.02999999999997</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f>5.19</f>
        <v>5.19</v>
      </c>
      <c r="I401" s="18"/>
      <c r="J401" s="23" t="s">
        <v>288</v>
      </c>
      <c r="K401" s="23" t="s">
        <v>288</v>
      </c>
      <c r="L401" s="13">
        <f t="shared" si="26"/>
        <v>5.19</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396.2</v>
      </c>
      <c r="I402" s="38">
        <f>SUM(I396:I401)</f>
        <v>0</v>
      </c>
      <c r="J402" s="42" t="s">
        <v>288</v>
      </c>
      <c r="K402" s="42" t="s">
        <v>288</v>
      </c>
      <c r="L402" s="38">
        <f>SUM(L396:L401)</f>
        <v>396.2</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108422</v>
      </c>
      <c r="H409" s="38">
        <f>H394+H402+H408</f>
        <v>435</v>
      </c>
      <c r="I409" s="38">
        <f>I394+I402+I408</f>
        <v>0</v>
      </c>
      <c r="J409" s="23" t="s">
        <v>288</v>
      </c>
      <c r="K409" s="23" t="s">
        <v>288</v>
      </c>
      <c r="L409" s="38">
        <f>L394+L402+L408</f>
        <v>108857</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f>6500</f>
        <v>6500</v>
      </c>
      <c r="I423" s="18"/>
      <c r="J423" s="18"/>
      <c r="K423" s="18"/>
      <c r="L423" s="13">
        <f t="shared" si="29"/>
        <v>6500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f>50</f>
        <v>50</v>
      </c>
      <c r="I427" s="18"/>
      <c r="J427" s="18"/>
      <c r="K427" s="18"/>
      <c r="L427" s="13">
        <f t="shared" si="29"/>
        <v>50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6550</v>
      </c>
      <c r="I428" s="38">
        <f t="shared" si="30"/>
        <v>0</v>
      </c>
      <c r="J428" s="38">
        <f t="shared" si="30"/>
        <v>0</v>
      </c>
      <c r="K428" s="38">
        <f t="shared" si="30"/>
        <v>0</v>
      </c>
      <c r="L428" s="38">
        <f t="shared" si="30"/>
        <v>6550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6550</v>
      </c>
      <c r="I435" s="38">
        <f t="shared" si="32"/>
        <v>0</v>
      </c>
      <c r="J435" s="38">
        <f t="shared" si="32"/>
        <v>0</v>
      </c>
      <c r="K435" s="38">
        <f t="shared" si="32"/>
        <v>0</v>
      </c>
      <c r="L435" s="38">
        <f t="shared" si="32"/>
        <v>6550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f>105887.72+15043.24-64530</f>
        <v>56400.960000000006</v>
      </c>
      <c r="G440" s="18">
        <f>104372.86+37077.89+162786.65</f>
        <v>304237.40000000002</v>
      </c>
      <c r="H440" s="18">
        <v>816.09</v>
      </c>
      <c r="I440" s="13">
        <f t="shared" ref="I440:I446" si="33">SUM(F440:H440)</f>
        <v>361454.45000000007</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v>64530</v>
      </c>
      <c r="G443" s="18"/>
      <c r="H443" s="18"/>
      <c r="I443" s="13">
        <f t="shared" si="33"/>
        <v>64530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120930.96</v>
      </c>
      <c r="G447" s="13">
        <f>SUM(G440:G446)</f>
        <v>304237.40000000002</v>
      </c>
      <c r="H447" s="13">
        <f>SUM(H440:H446)</f>
        <v>816.09</v>
      </c>
      <c r="I447" s="13">
        <f>SUM(I440:I446)</f>
        <v>425984.45000000007</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v>0</v>
      </c>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v>64530</v>
      </c>
      <c r="G451" s="18"/>
      <c r="H451" s="18"/>
      <c r="I451" s="13">
        <f>SUM(F451:H451)</f>
        <v>64530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64530</v>
      </c>
      <c r="G453" s="57">
        <f>SUM(G449:G452)</f>
        <v>0</v>
      </c>
      <c r="H453" s="57">
        <f>SUM(H449:H452)</f>
        <v>0</v>
      </c>
      <c r="I453" s="57">
        <f>SUM(I449:I452)</f>
        <v>64530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56400.959999999999</v>
      </c>
      <c r="G460" s="18">
        <v>304237.40000000002</v>
      </c>
      <c r="H460" s="18">
        <v>816.09</v>
      </c>
      <c r="I460" s="13">
        <f t="shared" si="34"/>
        <v>361454.45000000007</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56400.959999999999</v>
      </c>
      <c r="G461" s="65">
        <f>SUM(G455:G460)</f>
        <v>304237.40000000002</v>
      </c>
      <c r="H461" s="65">
        <f>SUM(H455:H460)</f>
        <v>816.09</v>
      </c>
      <c r="I461" s="65">
        <f>SUM(I455:I460)</f>
        <v>361454.45000000007</v>
      </c>
      <c r="J461" s="23" t="s">
        <v>288</v>
      </c>
      <c r="K461" s="23" t="s">
        <v>288</v>
      </c>
      <c r="L461" s="23" t="s">
        <v>288</v>
      </c>
      <c r="N461" s="130"/>
    </row>
    <row r="462" spans="1:86" ht="12.2" customHeight="1" thickTop="1" x14ac:dyDescent="0.2">
      <c r="A462" s="40" t="s">
        <v>424</v>
      </c>
      <c r="B462" s="41">
        <v>18</v>
      </c>
      <c r="C462" s="64">
        <v>21</v>
      </c>
      <c r="D462" s="114" t="s">
        <v>432</v>
      </c>
      <c r="E462" s="64"/>
      <c r="F462" s="39">
        <f>F453+F461</f>
        <v>120930.95999999999</v>
      </c>
      <c r="G462" s="39">
        <f>G453+G461</f>
        <v>304237.40000000002</v>
      </c>
      <c r="H462" s="39">
        <f>H453+H461</f>
        <v>816.09</v>
      </c>
      <c r="I462" s="39">
        <f>I453+I461</f>
        <v>425984.45000000007</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298525.65999999997</v>
      </c>
      <c r="G466" s="18">
        <v>41576.449999999997</v>
      </c>
      <c r="H466" s="18">
        <v>0</v>
      </c>
      <c r="I466" s="18">
        <v>0</v>
      </c>
      <c r="J466" s="18">
        <v>323677.45</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2774880.78</v>
      </c>
      <c r="G469" s="18">
        <v>52723.02</v>
      </c>
      <c r="H469" s="18">
        <v>234512.26</v>
      </c>
      <c r="I469" s="18"/>
      <c r="J469" s="18">
        <f>108422+435</f>
        <v>108857</v>
      </c>
      <c r="K469" s="23" t="s">
        <v>288</v>
      </c>
      <c r="L469" s="23" t="s">
        <v>288</v>
      </c>
      <c r="N469" s="130"/>
    </row>
    <row r="470" spans="1:14" ht="12.2" customHeight="1" x14ac:dyDescent="0.2">
      <c r="A470" s="71" t="s">
        <v>611</v>
      </c>
      <c r="B470" s="22">
        <v>19</v>
      </c>
      <c r="C470" s="31">
        <v>3</v>
      </c>
      <c r="D470" s="2" t="s">
        <v>432</v>
      </c>
      <c r="E470" s="31"/>
      <c r="F470" s="18">
        <v>3823</v>
      </c>
      <c r="G470" s="18"/>
      <c r="H470" s="18"/>
      <c r="I470" s="18"/>
      <c r="J470" s="18">
        <v>0</v>
      </c>
      <c r="K470" s="23" t="s">
        <v>288</v>
      </c>
      <c r="L470" s="23" t="s">
        <v>288</v>
      </c>
      <c r="N470" s="130"/>
    </row>
    <row r="471" spans="1:14" ht="12.2" customHeight="1" x14ac:dyDescent="0.2">
      <c r="A471" s="32" t="s">
        <v>425</v>
      </c>
      <c r="B471" s="22">
        <v>19</v>
      </c>
      <c r="C471" s="31">
        <v>4</v>
      </c>
      <c r="D471" s="2" t="s">
        <v>432</v>
      </c>
      <c r="E471" s="31"/>
      <c r="F471" s="19">
        <f>SUM(F469:F470)</f>
        <v>2778703.78</v>
      </c>
      <c r="G471" s="19">
        <f>SUM(G469:G470)</f>
        <v>52723.02</v>
      </c>
      <c r="H471" s="19">
        <f>SUM(H469:H470)</f>
        <v>234512.26</v>
      </c>
      <c r="I471" s="19">
        <f>SUM(I469:I470)</f>
        <v>0</v>
      </c>
      <c r="J471" s="19">
        <f>SUM(J469:J470)</f>
        <v>108857</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2667879.44</v>
      </c>
      <c r="G473" s="18">
        <v>82949.91</v>
      </c>
      <c r="H473" s="18">
        <v>234512.26</v>
      </c>
      <c r="I473" s="18"/>
      <c r="J473" s="18">
        <v>6550</v>
      </c>
      <c r="K473" s="23" t="s">
        <v>288</v>
      </c>
      <c r="L473" s="23" t="s">
        <v>288</v>
      </c>
      <c r="N473" s="130"/>
    </row>
    <row r="474" spans="1:14" ht="12.2" customHeight="1" x14ac:dyDescent="0.2">
      <c r="A474" s="71" t="s">
        <v>613</v>
      </c>
      <c r="B474" s="22">
        <v>19</v>
      </c>
      <c r="C474" s="31">
        <v>6</v>
      </c>
      <c r="D474" s="2" t="s">
        <v>432</v>
      </c>
      <c r="E474" s="31"/>
      <c r="F474" s="18"/>
      <c r="G474" s="18">
        <v>7766.49</v>
      </c>
      <c r="H474" s="18"/>
      <c r="I474" s="18"/>
      <c r="J474" s="18">
        <v>64530</v>
      </c>
      <c r="K474" s="23" t="s">
        <v>288</v>
      </c>
      <c r="L474" s="23" t="s">
        <v>288</v>
      </c>
      <c r="N474" s="130"/>
    </row>
    <row r="475" spans="1:14" ht="12.2" customHeight="1" x14ac:dyDescent="0.2">
      <c r="A475" s="32" t="s">
        <v>426</v>
      </c>
      <c r="B475" s="22">
        <v>19</v>
      </c>
      <c r="C475" s="31">
        <v>7</v>
      </c>
      <c r="D475" s="2" t="s">
        <v>432</v>
      </c>
      <c r="E475" s="31"/>
      <c r="F475" s="19">
        <f>SUM(F473:F474)</f>
        <v>2667879.44</v>
      </c>
      <c r="G475" s="19">
        <f>SUM(G473:G474)</f>
        <v>90716.400000000009</v>
      </c>
      <c r="H475" s="19">
        <f>SUM(H473:H474)</f>
        <v>234512.26</v>
      </c>
      <c r="I475" s="19">
        <f>SUM(I473:I474)</f>
        <v>0</v>
      </c>
      <c r="J475" s="19">
        <f>SUM(J473:J474)</f>
        <v>71080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409350</v>
      </c>
      <c r="G477" s="19">
        <f>(G466+G471)- G475</f>
        <v>3583.0699999999924</v>
      </c>
      <c r="H477" s="19">
        <f>(H466+H471)- H475</f>
        <v>0</v>
      </c>
      <c r="I477" s="19">
        <f>(I466+I471)- I475</f>
        <v>0</v>
      </c>
      <c r="J477" s="19">
        <f>(J466+J471)- J475</f>
        <v>361454.45</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100673.35+1400+400+370.35+7389.92</f>
        <v>110233.62000000001</v>
      </c>
      <c r="G522" s="18">
        <f>19368.41+323.14+109.16+28.33+565.32</f>
        <v>20394.36</v>
      </c>
      <c r="H522" s="18">
        <f>1602.21+274.05+2703.31</f>
        <v>4579.57</v>
      </c>
      <c r="I522" s="18">
        <f>297.43</f>
        <v>297.43</v>
      </c>
      <c r="J522" s="18"/>
      <c r="K522" s="18">
        <f>18851.13</f>
        <v>18851.13</v>
      </c>
      <c r="L522" s="69">
        <f>SUM(F522:K522)</f>
        <v>154356.11000000002</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f>13982.51+55110.75+440.07</f>
        <v>69533.33</v>
      </c>
      <c r="I524" s="18"/>
      <c r="J524" s="18"/>
      <c r="K524" s="18"/>
      <c r="L524" s="69">
        <f>SUM(F524:K524)</f>
        <v>69533.33</v>
      </c>
      <c r="N524" s="130"/>
    </row>
    <row r="525" spans="1:14" ht="12.2" customHeight="1" thickTop="1" x14ac:dyDescent="0.2">
      <c r="A525" s="97" t="s">
        <v>63</v>
      </c>
      <c r="B525" s="41">
        <v>21</v>
      </c>
      <c r="C525" s="41">
        <v>4</v>
      </c>
      <c r="D525" s="115" t="s">
        <v>432</v>
      </c>
      <c r="E525" s="41"/>
      <c r="F525" s="81">
        <f>SUM(F522:F524)</f>
        <v>110233.62000000001</v>
      </c>
      <c r="G525" s="81">
        <f t="shared" ref="G525:L525" si="36">SUM(G522:G524)</f>
        <v>20394.36</v>
      </c>
      <c r="H525" s="81">
        <f t="shared" si="36"/>
        <v>74112.899999999994</v>
      </c>
      <c r="I525" s="81">
        <f t="shared" si="36"/>
        <v>297.43</v>
      </c>
      <c r="J525" s="81">
        <f t="shared" si="36"/>
        <v>0</v>
      </c>
      <c r="K525" s="81">
        <f t="shared" si="36"/>
        <v>18851.13</v>
      </c>
      <c r="L525" s="70">
        <f t="shared" si="36"/>
        <v>223889.44</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22247.1</f>
        <v>22247.1</v>
      </c>
      <c r="G527" s="18">
        <f>1746.24</f>
        <v>1746.24</v>
      </c>
      <c r="H527" s="18">
        <f>9796.36+348.64+2777.5</f>
        <v>12922.5</v>
      </c>
      <c r="I527" s="18">
        <f>373.92</f>
        <v>373.92</v>
      </c>
      <c r="J527" s="18"/>
      <c r="K527" s="18"/>
      <c r="L527" s="69">
        <f>SUM(F527:K527)</f>
        <v>37289.759999999995</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f>635.25</f>
        <v>635.25</v>
      </c>
      <c r="I529" s="18"/>
      <c r="J529" s="18"/>
      <c r="K529" s="18"/>
      <c r="L529" s="69">
        <f>SUM(F529:K529)</f>
        <v>635.25</v>
      </c>
      <c r="M529" s="8"/>
      <c r="N529" s="164"/>
    </row>
    <row r="530" spans="1:14" s="3" customFormat="1" ht="12.2" customHeight="1" thickTop="1" x14ac:dyDescent="0.15">
      <c r="A530" s="97" t="s">
        <v>65</v>
      </c>
      <c r="B530" s="41">
        <v>21</v>
      </c>
      <c r="C530" s="41">
        <v>8</v>
      </c>
      <c r="D530" s="115" t="s">
        <v>432</v>
      </c>
      <c r="E530" s="41"/>
      <c r="F530" s="70">
        <f>SUM(F527:F529)</f>
        <v>22247.1</v>
      </c>
      <c r="G530" s="70">
        <f t="shared" ref="G530:L530" si="37">SUM(G527:G529)</f>
        <v>1746.24</v>
      </c>
      <c r="H530" s="70">
        <f t="shared" si="37"/>
        <v>13557.75</v>
      </c>
      <c r="I530" s="70">
        <f t="shared" si="37"/>
        <v>373.92</v>
      </c>
      <c r="J530" s="70">
        <f t="shared" si="37"/>
        <v>0</v>
      </c>
      <c r="K530" s="70">
        <f t="shared" si="37"/>
        <v>0</v>
      </c>
      <c r="L530" s="70">
        <f t="shared" si="37"/>
        <v>37925.009999999995</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f>16134.36</f>
        <v>16134.36</v>
      </c>
      <c r="I532" s="18"/>
      <c r="J532" s="18"/>
      <c r="K532" s="18"/>
      <c r="L532" s="69">
        <f>SUM(F532:K532)</f>
        <v>16134.36</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16134.36</v>
      </c>
      <c r="I535" s="70">
        <f t="shared" si="38"/>
        <v>0</v>
      </c>
      <c r="J535" s="70">
        <f t="shared" si="38"/>
        <v>0</v>
      </c>
      <c r="K535" s="70">
        <f t="shared" si="38"/>
        <v>0</v>
      </c>
      <c r="L535" s="70">
        <f t="shared" si="38"/>
        <v>16134.36</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f>1.57</f>
        <v>1.57</v>
      </c>
      <c r="H542" s="18"/>
      <c r="I542" s="18"/>
      <c r="J542" s="18"/>
      <c r="K542" s="18"/>
      <c r="L542" s="69">
        <f>SUM(F542:K542)</f>
        <v>1.57</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1.57</v>
      </c>
      <c r="H545" s="140">
        <f t="shared" si="40"/>
        <v>0</v>
      </c>
      <c r="I545" s="140">
        <f t="shared" si="40"/>
        <v>0</v>
      </c>
      <c r="J545" s="140">
        <f t="shared" si="40"/>
        <v>0</v>
      </c>
      <c r="K545" s="140">
        <f t="shared" si="40"/>
        <v>0</v>
      </c>
      <c r="L545" s="140">
        <f t="shared" si="40"/>
        <v>1.57</v>
      </c>
      <c r="M545" s="8"/>
      <c r="N545" s="164"/>
    </row>
    <row r="546" spans="1:14" s="3" customFormat="1" ht="12.2" customHeight="1" thickTop="1" x14ac:dyDescent="0.15">
      <c r="A546" s="75" t="s">
        <v>72</v>
      </c>
      <c r="B546" s="41">
        <v>21</v>
      </c>
      <c r="C546" s="41">
        <v>21</v>
      </c>
      <c r="D546" s="115" t="s">
        <v>432</v>
      </c>
      <c r="E546" s="41"/>
      <c r="F546" s="70">
        <f>F525+F530+F535+F540+F545</f>
        <v>132480.72</v>
      </c>
      <c r="G546" s="70">
        <f t="shared" ref="G546:L546" si="41">G525+G530+G535+G540+G545</f>
        <v>22142.170000000002</v>
      </c>
      <c r="H546" s="70">
        <f t="shared" si="41"/>
        <v>103805.01</v>
      </c>
      <c r="I546" s="70">
        <f t="shared" si="41"/>
        <v>671.35</v>
      </c>
      <c r="J546" s="70">
        <f t="shared" si="41"/>
        <v>0</v>
      </c>
      <c r="K546" s="70">
        <f t="shared" si="41"/>
        <v>18851.13</v>
      </c>
      <c r="L546" s="70">
        <f t="shared" si="41"/>
        <v>277950.38</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154356.11000000002</v>
      </c>
      <c r="G550" s="69">
        <f>L527</f>
        <v>37289.759999999995</v>
      </c>
      <c r="H550" s="69">
        <f>L532</f>
        <v>16134.36</v>
      </c>
      <c r="I550" s="69">
        <f>L537</f>
        <v>0</v>
      </c>
      <c r="J550" s="69">
        <f>L542</f>
        <v>1.57</v>
      </c>
      <c r="K550" s="69">
        <f>SUM(F550:J550)</f>
        <v>207781.8</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69533.33</v>
      </c>
      <c r="G552" s="69">
        <f>L529</f>
        <v>635.25</v>
      </c>
      <c r="H552" s="69">
        <f>L534</f>
        <v>0</v>
      </c>
      <c r="I552" s="69">
        <f>L539</f>
        <v>0</v>
      </c>
      <c r="J552" s="69">
        <f>L544</f>
        <v>0</v>
      </c>
      <c r="K552" s="69">
        <f>SUM(F552:J552)</f>
        <v>70168.58</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223889.44</v>
      </c>
      <c r="G553" s="70">
        <f t="shared" si="42"/>
        <v>37925.009999999995</v>
      </c>
      <c r="H553" s="70">
        <f t="shared" si="42"/>
        <v>16134.36</v>
      </c>
      <c r="I553" s="70">
        <f t="shared" si="42"/>
        <v>0</v>
      </c>
      <c r="J553" s="70">
        <f t="shared" si="42"/>
        <v>1.57</v>
      </c>
      <c r="K553" s="70">
        <f t="shared" si="42"/>
        <v>277950.38</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f>343892.89</f>
        <v>343892.89</v>
      </c>
      <c r="I576" s="69">
        <f>SUM(F576:H576)</f>
        <v>343892.89</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v>308000</v>
      </c>
      <c r="I577" s="69">
        <f t="shared" ref="I577:I588" si="47">SUM(F577:H577)</f>
        <v>308000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t="s">
        <v>286</v>
      </c>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v>55110.75</v>
      </c>
      <c r="I583" s="69">
        <f t="shared" si="47"/>
        <v>55110.75</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v>11000</v>
      </c>
      <c r="I586" s="69">
        <f t="shared" si="47"/>
        <v>11000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0</v>
      </c>
      <c r="H589" s="79">
        <f t="shared" si="48"/>
        <v>718003.64</v>
      </c>
      <c r="I589" s="79">
        <f t="shared" si="48"/>
        <v>718003.64</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129781.32</f>
        <v>129781.32</v>
      </c>
      <c r="I592" s="18"/>
      <c r="J592" s="18">
        <f>74308.96</f>
        <v>74308.960000000006</v>
      </c>
      <c r="K592" s="80">
        <f t="shared" ref="K592:K598" si="49">SUM(H592:J592)</f>
        <v>204090.28000000003</v>
      </c>
      <c r="L592" s="23" t="s">
        <v>288</v>
      </c>
      <c r="M592" s="8"/>
      <c r="N592" s="164"/>
    </row>
    <row r="593" spans="1:14" s="3" customFormat="1" ht="12.2" customHeight="1" x14ac:dyDescent="0.15">
      <c r="A593" s="3" t="s">
        <v>638</v>
      </c>
      <c r="B593" s="22">
        <v>23</v>
      </c>
      <c r="C593" s="22">
        <v>2</v>
      </c>
      <c r="D593" s="2" t="s">
        <v>432</v>
      </c>
      <c r="E593" s="22"/>
      <c r="F593" s="78">
        <v>2722</v>
      </c>
      <c r="G593" s="79" t="s">
        <v>97</v>
      </c>
      <c r="H593" s="18">
        <v>1.57</v>
      </c>
      <c r="I593" s="18"/>
      <c r="J593" s="18"/>
      <c r="K593" s="80">
        <f t="shared" si="49"/>
        <v>1.57</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2337.19</v>
      </c>
      <c r="I596" s="18"/>
      <c r="J596" s="18"/>
      <c r="K596" s="80">
        <f t="shared" si="49"/>
        <v>2337.19</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0</v>
      </c>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132120.08000000002</v>
      </c>
      <c r="I599" s="81">
        <f>SUM(I592:I598)</f>
        <v>0</v>
      </c>
      <c r="J599" s="81">
        <f>SUM(J592:J598)</f>
        <v>74308.960000000006</v>
      </c>
      <c r="K599" s="81">
        <f>SUM(K592:K598)</f>
        <v>206429.04000000004</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429.97+246.75+1089.46+41599.8+7467.96+8533.48+7743</f>
        <v>67110.42</v>
      </c>
      <c r="I605" s="18"/>
      <c r="J605" s="18">
        <f>23400.2</f>
        <v>23400.2</v>
      </c>
      <c r="K605" s="80">
        <f>SUM(H605:J605)</f>
        <v>90510.62</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67110.42</v>
      </c>
      <c r="I606" s="81">
        <f>SUM(I603:I605)</f>
        <v>0</v>
      </c>
      <c r="J606" s="81">
        <f>SUM(J603:J605)</f>
        <v>23400.2</v>
      </c>
      <c r="K606" s="81">
        <f>SUM(K603:K605)</f>
        <v>90510.62</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f>3450+3137.5</f>
        <v>6587.5</v>
      </c>
      <c r="G612" s="18">
        <f>503.96+616.21+16.36</f>
        <v>1136.53</v>
      </c>
      <c r="H612" s="18"/>
      <c r="I612" s="18"/>
      <c r="J612" s="18"/>
      <c r="K612" s="18"/>
      <c r="L612" s="69">
        <f>SUM(F612:K612)</f>
        <v>7724.03</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6587.5</v>
      </c>
      <c r="G615" s="81">
        <f t="shared" si="50"/>
        <v>1136.53</v>
      </c>
      <c r="H615" s="81">
        <f t="shared" si="50"/>
        <v>0</v>
      </c>
      <c r="I615" s="81">
        <f t="shared" si="50"/>
        <v>0</v>
      </c>
      <c r="J615" s="81">
        <f t="shared" si="50"/>
        <v>0</v>
      </c>
      <c r="K615" s="81">
        <f t="shared" si="50"/>
        <v>0</v>
      </c>
      <c r="L615" s="70">
        <f t="shared" si="50"/>
        <v>7724.03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485032.55</v>
      </c>
      <c r="H618" s="80">
        <f>SUM(F52)</f>
        <v>485032.55</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159676.89000000001</v>
      </c>
      <c r="H619" s="80">
        <f>SUM(G52)</f>
        <v>159676.88999999998</v>
      </c>
      <c r="I619" s="87" t="s">
        <v>872</v>
      </c>
      <c r="J619" s="80">
        <f>G619-H619</f>
        <v>0</v>
      </c>
      <c r="K619" s="80"/>
      <c r="L619" s="80"/>
      <c r="M619" s="8"/>
    </row>
    <row r="620" spans="1:14" s="3" customFormat="1" ht="12.2" customHeight="1" x14ac:dyDescent="0.15">
      <c r="A620" s="74"/>
      <c r="B620" s="22"/>
      <c r="C620" s="22"/>
      <c r="D620" s="22"/>
      <c r="E620" s="22"/>
      <c r="F620" s="87" t="s">
        <v>685</v>
      </c>
      <c r="G620" s="80">
        <f>SUM(H19)</f>
        <v>56521.659999999996</v>
      </c>
      <c r="H620" s="80">
        <f>SUM(H52)</f>
        <v>56521.659999999996</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425984.45000000007</v>
      </c>
      <c r="H622" s="80">
        <f>SUM(J52)</f>
        <v>425984.45000000007</v>
      </c>
      <c r="I622" s="87" t="s">
        <v>875</v>
      </c>
      <c r="J622" s="80">
        <f>G622-H622</f>
        <v>0</v>
      </c>
      <c r="K622" s="80"/>
      <c r="L622" s="80"/>
      <c r="M622" s="8"/>
    </row>
    <row r="623" spans="1:14" s="3" customFormat="1" ht="12.2" customHeight="1" x14ac:dyDescent="0.15">
      <c r="A623" s="74"/>
      <c r="B623" s="22"/>
      <c r="C623" s="22"/>
      <c r="D623" s="22"/>
      <c r="E623" s="22"/>
      <c r="F623" s="87" t="s">
        <v>861</v>
      </c>
      <c r="G623" s="80">
        <f>F51</f>
        <v>409350</v>
      </c>
      <c r="H623" s="80">
        <f>F477</f>
        <v>409350</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3583.0700000000015</v>
      </c>
      <c r="H624" s="80">
        <f>G477</f>
        <v>3583.0699999999924</v>
      </c>
      <c r="I624" s="87" t="s">
        <v>102</v>
      </c>
      <c r="J624" s="80">
        <f t="shared" si="51"/>
        <v>9.0949470177292824E-12</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361454.45000000007</v>
      </c>
      <c r="H627" s="80">
        <f>J477</f>
        <v>361454.45</v>
      </c>
      <c r="I627" s="87" t="s">
        <v>105</v>
      </c>
      <c r="J627" s="80">
        <f t="shared" si="51"/>
        <v>0</v>
      </c>
      <c r="K627" s="67"/>
      <c r="L627" s="69"/>
      <c r="M627" s="8"/>
    </row>
    <row r="628" spans="1:13" s="3" customFormat="1" ht="12.2" customHeight="1" x14ac:dyDescent="0.15">
      <c r="A628" s="21"/>
      <c r="B628" s="22"/>
      <c r="C628" s="22"/>
      <c r="D628" s="22"/>
      <c r="E628" s="22"/>
      <c r="F628" s="86" t="s">
        <v>658</v>
      </c>
      <c r="G628" s="80">
        <f>F194</f>
        <v>2774880.7800000003</v>
      </c>
      <c r="H628" s="80">
        <f>SUM(F469)</f>
        <v>2774880.78</v>
      </c>
      <c r="I628" s="87" t="s">
        <v>106</v>
      </c>
      <c r="J628" s="80">
        <f>G628-H628</f>
        <v>0</v>
      </c>
      <c r="K628" s="67"/>
      <c r="L628" s="69"/>
      <c r="M628" s="8"/>
    </row>
    <row r="629" spans="1:13" s="3" customFormat="1" ht="12.2" customHeight="1" x14ac:dyDescent="0.15">
      <c r="A629" s="21"/>
      <c r="B629" s="22"/>
      <c r="C629" s="22"/>
      <c r="D629" s="22"/>
      <c r="E629" s="22"/>
      <c r="F629" s="86" t="s">
        <v>659</v>
      </c>
      <c r="G629" s="80">
        <f>G194</f>
        <v>52723.020000000004</v>
      </c>
      <c r="H629" s="80">
        <f>SUM(G469)</f>
        <v>52723.02</v>
      </c>
      <c r="I629" s="87" t="s">
        <v>107</v>
      </c>
      <c r="J629" s="80">
        <f>G629-H629</f>
        <v>0</v>
      </c>
      <c r="K629" s="67"/>
      <c r="L629" s="69"/>
      <c r="M629" s="8"/>
    </row>
    <row r="630" spans="1:13" s="3" customFormat="1" ht="12.2" customHeight="1" x14ac:dyDescent="0.15">
      <c r="A630" s="21"/>
      <c r="B630" s="22"/>
      <c r="C630" s="22"/>
      <c r="D630" s="22"/>
      <c r="E630" s="22"/>
      <c r="F630" s="86" t="s">
        <v>660</v>
      </c>
      <c r="G630" s="80">
        <f>H194</f>
        <v>234512.26000000004</v>
      </c>
      <c r="H630" s="80">
        <f>SUM(H469)</f>
        <v>234512.26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108857</v>
      </c>
      <c r="H632" s="80">
        <f>SUM(J469)</f>
        <v>108857</v>
      </c>
      <c r="I632" s="87" t="s">
        <v>110</v>
      </c>
      <c r="J632" s="80">
        <f>G632-H632</f>
        <v>0</v>
      </c>
      <c r="K632" s="67"/>
      <c r="L632" s="69"/>
      <c r="M632" s="8"/>
    </row>
    <row r="633" spans="1:13" s="3" customFormat="1" ht="12.2" customHeight="1" x14ac:dyDescent="0.15">
      <c r="A633" s="21"/>
      <c r="B633" s="22"/>
      <c r="C633" s="22"/>
      <c r="D633" s="22"/>
      <c r="E633" s="22"/>
      <c r="F633" s="86" t="s">
        <v>394</v>
      </c>
      <c r="G633" s="80">
        <f>SUM(L272)</f>
        <v>2667879.44</v>
      </c>
      <c r="H633" s="80">
        <f>SUM(F473)</f>
        <v>2667879.44</v>
      </c>
      <c r="I633" s="87" t="s">
        <v>111</v>
      </c>
      <c r="J633" s="80">
        <f t="shared" si="51"/>
        <v>0</v>
      </c>
      <c r="K633" s="67"/>
      <c r="L633" s="69"/>
      <c r="M633" s="8"/>
    </row>
    <row r="634" spans="1:13" s="3" customFormat="1" ht="12.2" customHeight="1" x14ac:dyDescent="0.15">
      <c r="A634" s="21"/>
      <c r="B634" s="22"/>
      <c r="C634" s="22"/>
      <c r="D634" s="22"/>
      <c r="E634" s="22"/>
      <c r="F634" s="86" t="s">
        <v>395</v>
      </c>
      <c r="G634" s="80">
        <f>SUM(L353)</f>
        <v>234512.26</v>
      </c>
      <c r="H634" s="80">
        <f>SUM(H473)</f>
        <v>234512.26</v>
      </c>
      <c r="I634" s="87" t="s">
        <v>112</v>
      </c>
      <c r="J634" s="80">
        <f>G634-H634</f>
        <v>0</v>
      </c>
      <c r="K634" s="67"/>
      <c r="L634" s="69"/>
      <c r="M634" s="8"/>
    </row>
    <row r="635" spans="1:13" s="124" customFormat="1" ht="12.2" customHeight="1" x14ac:dyDescent="0.15">
      <c r="A635" s="21"/>
      <c r="B635" s="22"/>
      <c r="C635" s="22"/>
      <c r="D635" s="22"/>
      <c r="E635" s="22"/>
      <c r="F635" s="99" t="s">
        <v>247</v>
      </c>
      <c r="G635" s="80">
        <f>I363</f>
        <v>8932.4599999999991</v>
      </c>
      <c r="H635" s="80">
        <f>I370</f>
        <v>8932.4599999999991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82949.91</v>
      </c>
      <c r="H636" s="80">
        <f>SUM(G473)</f>
        <v>82949.91</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108857</v>
      </c>
      <c r="H638" s="108">
        <f>SUM(J469)</f>
        <v>108857</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6550</v>
      </c>
      <c r="H639" s="108">
        <f>SUM(J473)</f>
        <v>6550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120930.96</v>
      </c>
      <c r="H640" s="80">
        <f>SUM(F462)</f>
        <v>120930.95999999999</v>
      </c>
      <c r="I640" s="87" t="s">
        <v>837</v>
      </c>
      <c r="J640" s="80">
        <f t="shared" si="51"/>
        <v>0</v>
      </c>
      <c r="K640" s="67"/>
      <c r="L640" s="69"/>
      <c r="M640" s="8"/>
    </row>
    <row r="641" spans="1:13" s="3" customFormat="1" ht="12.2" customHeight="1" x14ac:dyDescent="0.15">
      <c r="A641" s="21"/>
      <c r="B641" s="22"/>
      <c r="C641" s="22"/>
      <c r="D641" s="22"/>
      <c r="E641" s="22"/>
      <c r="F641" s="86" t="s">
        <v>119</v>
      </c>
      <c r="G641" s="80">
        <f>SUM(G447)</f>
        <v>304237.40000000002</v>
      </c>
      <c r="H641" s="80">
        <f>SUM(G462)</f>
        <v>304237.40000000002</v>
      </c>
      <c r="I641" s="87" t="s">
        <v>838</v>
      </c>
      <c r="J641" s="80">
        <f t="shared" si="51"/>
        <v>0</v>
      </c>
      <c r="K641" s="67"/>
      <c r="L641" s="69"/>
      <c r="M641" s="8"/>
    </row>
    <row r="642" spans="1:13" s="3" customFormat="1" ht="12.2" customHeight="1" x14ac:dyDescent="0.15">
      <c r="A642" s="21"/>
      <c r="B642" s="22"/>
      <c r="C642" s="22"/>
      <c r="D642" s="22"/>
      <c r="E642" s="22"/>
      <c r="F642" s="86" t="s">
        <v>120</v>
      </c>
      <c r="G642" s="80">
        <f>SUM(H447)</f>
        <v>816.09</v>
      </c>
      <c r="H642" s="80">
        <f>SUM(H462)</f>
        <v>816.09</v>
      </c>
      <c r="I642" s="87" t="s">
        <v>839</v>
      </c>
      <c r="J642" s="80">
        <f t="shared" si="51"/>
        <v>0</v>
      </c>
      <c r="K642" s="67"/>
      <c r="L642" s="69"/>
      <c r="M642" s="8"/>
    </row>
    <row r="643" spans="1:13" s="3" customFormat="1" ht="12.2" customHeight="1" x14ac:dyDescent="0.15">
      <c r="A643" s="21"/>
      <c r="B643" s="22"/>
      <c r="C643" s="22"/>
      <c r="D643" s="22"/>
      <c r="E643" s="22"/>
      <c r="F643" s="86" t="s">
        <v>121</v>
      </c>
      <c r="G643" s="80">
        <f>SUM(I447)</f>
        <v>425984.45000000007</v>
      </c>
      <c r="H643" s="80">
        <f>SUM(I462)</f>
        <v>425984.45000000007</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435</v>
      </c>
      <c r="H645" s="80">
        <f>H409</f>
        <v>435</v>
      </c>
      <c r="I645" s="87" t="s">
        <v>480</v>
      </c>
      <c r="J645" s="80">
        <f t="shared" si="51"/>
        <v>0</v>
      </c>
      <c r="K645" s="67"/>
      <c r="L645" s="69"/>
      <c r="M645" s="8"/>
    </row>
    <row r="646" spans="1:13" s="3" customFormat="1" ht="12.2" customHeight="1" x14ac:dyDescent="0.15">
      <c r="A646" s="21"/>
      <c r="B646" s="22"/>
      <c r="C646" s="22"/>
      <c r="D646" s="22"/>
      <c r="E646" s="22"/>
      <c r="F646" s="86" t="s">
        <v>664</v>
      </c>
      <c r="G646" s="80">
        <f>J184</f>
        <v>108422</v>
      </c>
      <c r="H646" s="80">
        <f>G409</f>
        <v>108422</v>
      </c>
      <c r="I646" s="87" t="s">
        <v>481</v>
      </c>
      <c r="J646" s="80">
        <f t="shared" si="51"/>
        <v>0</v>
      </c>
      <c r="K646" s="67"/>
      <c r="L646" s="69"/>
      <c r="M646" s="8"/>
    </row>
    <row r="647" spans="1:13" s="3" customFormat="1" ht="12.2" customHeight="1" x14ac:dyDescent="0.15">
      <c r="A647" s="21"/>
      <c r="B647" s="22"/>
      <c r="C647" s="22"/>
      <c r="D647" s="22"/>
      <c r="E647" s="22"/>
      <c r="F647" s="86" t="s">
        <v>662</v>
      </c>
      <c r="G647" s="80">
        <f>J194</f>
        <v>108857</v>
      </c>
      <c r="H647" s="80">
        <f>L409</f>
        <v>108857</v>
      </c>
      <c r="I647" s="87" t="s">
        <v>477</v>
      </c>
      <c r="J647" s="80">
        <f t="shared" si="51"/>
        <v>0</v>
      </c>
      <c r="K647" s="67"/>
      <c r="L647" s="69"/>
      <c r="M647" s="8"/>
    </row>
    <row r="648" spans="1:13" s="3" customFormat="1" ht="12.2" customHeight="1" x14ac:dyDescent="0.15">
      <c r="A648" s="21"/>
      <c r="B648" s="22"/>
      <c r="C648" s="22"/>
      <c r="D648" s="22"/>
      <c r="E648" s="22"/>
      <c r="F648" s="86" t="s">
        <v>51</v>
      </c>
      <c r="G648" s="80">
        <f>K599</f>
        <v>206429.04000000004</v>
      </c>
      <c r="H648" s="80">
        <f>L209+L227+L245</f>
        <v>206429.03999999998</v>
      </c>
      <c r="I648" s="87" t="s">
        <v>396</v>
      </c>
      <c r="J648" s="80">
        <f t="shared" si="51"/>
        <v>0</v>
      </c>
      <c r="K648" s="67"/>
      <c r="L648" s="69"/>
      <c r="M648" s="8"/>
    </row>
    <row r="649" spans="1:13" s="3" customFormat="1" ht="12.2" customHeight="1" x14ac:dyDescent="0.15">
      <c r="A649" s="21"/>
      <c r="B649" s="22"/>
      <c r="C649" s="22"/>
      <c r="D649" s="22"/>
      <c r="E649" s="22"/>
      <c r="F649" s="86" t="s">
        <v>52</v>
      </c>
      <c r="G649" s="80">
        <f>K606</f>
        <v>90510.62</v>
      </c>
      <c r="H649" s="80">
        <f>(J258+J339)-(J256+J337)</f>
        <v>90510.62000000001</v>
      </c>
      <c r="I649" s="87" t="s">
        <v>699</v>
      </c>
      <c r="J649" s="80">
        <f t="shared" si="51"/>
        <v>0</v>
      </c>
      <c r="K649" s="67"/>
      <c r="L649" s="69"/>
      <c r="M649" s="8"/>
    </row>
    <row r="650" spans="1:13" s="3" customFormat="1" ht="12.2" customHeight="1" x14ac:dyDescent="0.15">
      <c r="A650" s="21"/>
      <c r="B650" s="22"/>
      <c r="C650" s="22"/>
      <c r="D650" s="22"/>
      <c r="E650" s="22"/>
      <c r="F650" s="86" t="s">
        <v>387</v>
      </c>
      <c r="G650" s="80">
        <f>L209</f>
        <v>132120.07999999999</v>
      </c>
      <c r="H650" s="80">
        <f>H599</f>
        <v>132120.08000000002</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74308.959999999992</v>
      </c>
      <c r="H652" s="80">
        <f>J599</f>
        <v>74308.960000000006</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t="str">
        <f>K265</f>
        <v xml:space="preserve"> </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108422</v>
      </c>
      <c r="H656" s="80">
        <f>K267+K348</f>
        <v>108422</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1993023.15</v>
      </c>
      <c r="G661" s="13">
        <f>(L230+L310+L360)</f>
        <v>0</v>
      </c>
      <c r="H661" s="13">
        <f>(L248+L329+L361)</f>
        <v>877268.33</v>
      </c>
      <c r="I661" s="13">
        <f>SUM(F661:H661)</f>
        <v>2870291.48</v>
      </c>
      <c r="J661" s="13"/>
      <c r="K661" s="13"/>
      <c r="L661" s="13"/>
      <c r="M661" s="9"/>
    </row>
    <row r="662" spans="1:13" s="3" customFormat="1" ht="12.2" customHeight="1" x14ac:dyDescent="0.2">
      <c r="A662" s="1" t="s">
        <v>127</v>
      </c>
      <c r="F662" s="13">
        <f>(L359/IF(SUM(L359:L361)=0,1,SUM(L359:L361))*(SUM(G97:G110)))</f>
        <v>8606.32</v>
      </c>
      <c r="G662" s="13">
        <f>(L360/IF(SUM(L359:L361)=0,1,SUM(L359:L361))*(SUM(G97:G110)))</f>
        <v>0</v>
      </c>
      <c r="H662" s="13">
        <f>(L361/IF(SUM(L359:L361)=0,1,SUM(L359:L361))*(SUM(G97:G110)))</f>
        <v>0</v>
      </c>
      <c r="I662" s="13">
        <f>SUM(F662:H662)</f>
        <v>8606.32</v>
      </c>
      <c r="J662"/>
      <c r="K662" s="13"/>
      <c r="L662" s="13"/>
      <c r="M662" s="8"/>
    </row>
    <row r="663" spans="1:13" s="3" customFormat="1" ht="12.2" customHeight="1" x14ac:dyDescent="0.2">
      <c r="A663" s="1" t="s">
        <v>128</v>
      </c>
      <c r="F663" s="13">
        <f>(L209+L288)-(J209+J288)</f>
        <v>91420.069999999992</v>
      </c>
      <c r="G663" s="13">
        <f>(L227+L307)-(J227+J307)</f>
        <v>0</v>
      </c>
      <c r="H663" s="13">
        <f>(L245+L326)-(J245+J326)</f>
        <v>50908.759999999995</v>
      </c>
      <c r="I663" s="13">
        <f>SUM(F663:H663)</f>
        <v>142328.82999999999</v>
      </c>
      <c r="J663"/>
      <c r="K663" s="13"/>
      <c r="L663" s="13"/>
      <c r="M663" s="9"/>
    </row>
    <row r="664" spans="1:13" s="3" customFormat="1" ht="12.2" customHeight="1" x14ac:dyDescent="0.15">
      <c r="A664" s="141" t="s">
        <v>129</v>
      </c>
      <c r="B664" s="124"/>
      <c r="C664" s="124"/>
      <c r="D664" s="124"/>
      <c r="E664" s="124"/>
      <c r="F664" s="142">
        <f>SUM(F576:F588)+SUM(H603:H605)+SUM(L612)</f>
        <v>74834.45</v>
      </c>
      <c r="G664" s="142">
        <f>SUM(G576:G588)+SUM(I603:I605)+L613</f>
        <v>0</v>
      </c>
      <c r="H664" s="142">
        <f>SUM(H576:H588)+SUM(J603:J605)+L614</f>
        <v>741403.84</v>
      </c>
      <c r="I664" s="13">
        <f>SUM(F664:H664)</f>
        <v>816238.28999999992</v>
      </c>
      <c r="J664" s="13"/>
      <c r="K664" s="13"/>
      <c r="L664" s="13"/>
      <c r="M664" s="9"/>
    </row>
    <row r="665" spans="1:13" s="3" customFormat="1" ht="12.2" customHeight="1" x14ac:dyDescent="0.15">
      <c r="A665" s="1" t="s">
        <v>130</v>
      </c>
      <c r="F665" s="13">
        <f>F661-SUM(F662:F664)</f>
        <v>1818162.31</v>
      </c>
      <c r="G665" s="13">
        <f>G661-SUM(G662:G664)</f>
        <v>0</v>
      </c>
      <c r="H665" s="13">
        <f>H661-SUM(H662:H664)</f>
        <v>84955.729999999981</v>
      </c>
      <c r="I665" s="13">
        <f>I661-SUM(I662:I664)</f>
        <v>1903118.04</v>
      </c>
      <c r="J665" s="13"/>
      <c r="K665" s="13"/>
      <c r="L665" s="13"/>
      <c r="M665" s="8"/>
    </row>
    <row r="666" spans="1:13" s="3" customFormat="1" ht="12.2" customHeight="1" x14ac:dyDescent="0.2">
      <c r="A666" s="1" t="s">
        <v>131</v>
      </c>
      <c r="F666" s="182">
        <v>51.66</v>
      </c>
      <c r="G666" s="183"/>
      <c r="H666" s="183"/>
      <c r="I666" s="13">
        <f>SUM(F666:H666)</f>
        <v>51.66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35194.78</v>
      </c>
      <c r="G668" s="13" t="e">
        <f>ROUND(G665/G666,2)</f>
        <v>#DIV/0!</v>
      </c>
      <c r="H668" s="13" t="e">
        <f>ROUND(H665/H666,2)</f>
        <v>#DIV/0!</v>
      </c>
      <c r="I668" s="13">
        <f>ROUND(I665/I666,2)</f>
        <v>36839.300000000003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-84955.729999999981</v>
      </c>
      <c r="I670" s="13">
        <f>SUM(F670:H670)</f>
        <v>-84955.729999999981</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35194.78</v>
      </c>
      <c r="G673" s="13" t="e">
        <f>ROUND((G665+G670)/(G666+G671),2)</f>
        <v>#DIV/0!</v>
      </c>
      <c r="H673" s="13" t="e">
        <f>ROUND((H665+H670)/(H666+H671),2)</f>
        <v>#DIV/0!</v>
      </c>
      <c r="I673" s="13">
        <f>ROUND((I665+I670)/(I666+I671),2)</f>
        <v>35194.78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6" sqref="C26"/>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37913.22</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4125.82+13382.83+8296.93</f>
        <v>25805.58</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411.08+61.99+9800</f>
        <v>10273.07</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f>1834.57</f>
        <v>1834.57</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f>3679.76</f>
        <v>3679.76</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4"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Stewartstown</v>
      </c>
      <c r="C5" s="321"/>
      <c r="D5" s="321"/>
      <c r="E5" s="321"/>
      <c r="F5" s="321"/>
    </row>
    <row r="8" spans="1:9" ht="18" x14ac:dyDescent="0.25">
      <c r="A8" s="239" t="s">
        <v>1548</v>
      </c>
      <c r="F8" s="246" t="s">
        <v>1566</v>
      </c>
    </row>
    <row r="9" spans="1:9" ht="15" x14ac:dyDescent="0.2">
      <c r="A9" s="237" t="s">
        <v>1549</v>
      </c>
      <c r="B9" s="240">
        <f>'DOE25'!G97</f>
        <v>8606.32</v>
      </c>
      <c r="F9" s="237" t="s">
        <v>1562</v>
      </c>
    </row>
    <row r="10" spans="1:9" ht="15" x14ac:dyDescent="0.2">
      <c r="A10" s="237" t="s">
        <v>1550</v>
      </c>
      <c r="B10" s="240">
        <f>'DOE25'!G112-'DOE25'!G97</f>
        <v>0</v>
      </c>
      <c r="F10" s="237" t="s">
        <v>1563</v>
      </c>
    </row>
    <row r="11" spans="1:9" ht="15" x14ac:dyDescent="0.2">
      <c r="A11" s="237" t="s">
        <v>1551</v>
      </c>
      <c r="B11" s="240">
        <f>'DOE25'!G140</f>
        <v>239.4</v>
      </c>
      <c r="F11" s="237" t="s">
        <v>1564</v>
      </c>
    </row>
    <row r="12" spans="1:9" ht="15" x14ac:dyDescent="0.2">
      <c r="A12" s="237" t="s">
        <v>1552</v>
      </c>
      <c r="B12" s="240">
        <f>'DOE25'!G170</f>
        <v>43877.3</v>
      </c>
      <c r="F12" s="237" t="s">
        <v>1565</v>
      </c>
    </row>
    <row r="13" spans="1:9" ht="15" x14ac:dyDescent="0.2">
      <c r="A13" s="237" t="s">
        <v>1553</v>
      </c>
      <c r="B13" s="240">
        <f>'DOE25'!G193-'DOE25'!G180</f>
        <v>0</v>
      </c>
      <c r="F13" s="237" t="s">
        <v>1575</v>
      </c>
    </row>
    <row r="14" spans="1:9" ht="18" x14ac:dyDescent="0.25">
      <c r="A14" s="239" t="s">
        <v>732</v>
      </c>
      <c r="B14" s="241">
        <f>SUM(B9:B13)</f>
        <v>52723.020000000004</v>
      </c>
    </row>
    <row r="16" spans="1:9" ht="18" x14ac:dyDescent="0.25">
      <c r="A16" s="239" t="s">
        <v>783</v>
      </c>
      <c r="F16" s="246" t="s">
        <v>1567</v>
      </c>
    </row>
    <row r="17" spans="1:6" ht="15" x14ac:dyDescent="0.2">
      <c r="A17" s="237" t="s">
        <v>1554</v>
      </c>
      <c r="B17" s="240">
        <f>'DOE25'!L363-'DOE25'!L362</f>
        <v>82949.91</v>
      </c>
      <c r="F17" s="237" t="s">
        <v>1568</v>
      </c>
    </row>
    <row r="18" spans="1:6" ht="15" x14ac:dyDescent="0.2">
      <c r="A18" s="237" t="s">
        <v>1555</v>
      </c>
      <c r="B18" s="250"/>
      <c r="F18" s="246" t="s">
        <v>1592</v>
      </c>
    </row>
    <row r="19" spans="1:6" ht="18" x14ac:dyDescent="0.25">
      <c r="A19" s="239" t="s">
        <v>725</v>
      </c>
      <c r="B19" s="241">
        <f>SUM(B17:B18)</f>
        <v>82949.91</v>
      </c>
    </row>
    <row r="21" spans="1:6" ht="18.75" thickBot="1" x14ac:dyDescent="0.3">
      <c r="A21" s="239" t="s">
        <v>1556</v>
      </c>
    </row>
    <row r="22" spans="1:6" ht="18.75" thickTop="1" x14ac:dyDescent="0.25">
      <c r="A22" s="239" t="s">
        <v>1557</v>
      </c>
      <c r="B22" s="245">
        <f>B14-B19</f>
        <v>-30226.89</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41576.449999999997</v>
      </c>
      <c r="F31" s="237" t="s">
        <v>1572</v>
      </c>
    </row>
    <row r="33" spans="1:6" ht="15" x14ac:dyDescent="0.2">
      <c r="A33" s="237" t="s">
        <v>1790</v>
      </c>
      <c r="B33" s="240">
        <f>'DOE25'!G477</f>
        <v>3583.0699999999924</v>
      </c>
      <c r="F33" s="237" t="s">
        <v>1573</v>
      </c>
    </row>
    <row r="36" spans="1:6" ht="15" x14ac:dyDescent="0.2">
      <c r="A36" s="237" t="s">
        <v>1559</v>
      </c>
      <c r="B36" s="251">
        <v>3282.55</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Stewartstown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389116.92</v>
      </c>
      <c r="C9" s="166">
        <f>'DOE25'!G198+'DOE25'!G216+'DOE25'!G234+'DOE25'!G277+'DOE25'!G296+'DOE25'!G315</f>
        <v>235341.82</v>
      </c>
    </row>
    <row r="10" spans="1:3" x14ac:dyDescent="0.2">
      <c r="A10" t="s">
        <v>772</v>
      </c>
      <c r="B10" s="176">
        <f>239150+27350.1+27349.9+42400</f>
        <v>336250</v>
      </c>
      <c r="C10" s="176">
        <f>C9-C11-C12</f>
        <v>231232.69999999998</v>
      </c>
    </row>
    <row r="11" spans="1:3" x14ac:dyDescent="0.2">
      <c r="A11" t="s">
        <v>773</v>
      </c>
      <c r="B11" s="176">
        <f>10799.31</f>
        <v>10799.31</v>
      </c>
      <c r="C11" s="176">
        <f>890.95</f>
        <v>890.95</v>
      </c>
    </row>
    <row r="12" spans="1:3" x14ac:dyDescent="0.2">
      <c r="A12" t="s">
        <v>774</v>
      </c>
      <c r="B12" s="176">
        <f>14303.24+27764.37</f>
        <v>42067.61</v>
      </c>
      <c r="C12" s="176">
        <f>3218.17</f>
        <v>3218.17</v>
      </c>
    </row>
    <row r="13" spans="1:3" x14ac:dyDescent="0.2">
      <c r="A13" t="str">
        <f>IF(B9=B13,IF(C9=C13,"Check Total OK","Check Total Error"),"Check Total Error")</f>
        <v>Check Total OK</v>
      </c>
      <c r="B13" s="168">
        <f>SUM(B10:B12)</f>
        <v>389116.92</v>
      </c>
      <c r="C13" s="168">
        <f>SUM(C10:C12)</f>
        <v>235341.82</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150191.4</v>
      </c>
      <c r="C18" s="166">
        <f>'DOE25'!G199+'DOE25'!G217+'DOE25'!G235+'DOE25'!G278+'DOE25'!G297+'DOE25'!G316</f>
        <v>23543.01</v>
      </c>
    </row>
    <row r="19" spans="1:3" x14ac:dyDescent="0.2">
      <c r="A19" t="s">
        <v>772</v>
      </c>
      <c r="B19" s="176">
        <f>40225</f>
        <v>40225</v>
      </c>
      <c r="C19" s="176">
        <f>C18-C20</f>
        <v>14470.779999999999</v>
      </c>
    </row>
    <row r="20" spans="1:3" x14ac:dyDescent="0.2">
      <c r="A20" t="s">
        <v>773</v>
      </c>
      <c r="B20" s="176">
        <f>150191.4-B19</f>
        <v>109966.39999999999</v>
      </c>
      <c r="C20" s="176">
        <f>9072.23</f>
        <v>9072.23</v>
      </c>
    </row>
    <row r="21" spans="1:3" x14ac:dyDescent="0.2">
      <c r="A21" t="s">
        <v>774</v>
      </c>
      <c r="B21" s="176"/>
      <c r="C21" s="176"/>
    </row>
    <row r="22" spans="1:3" x14ac:dyDescent="0.2">
      <c r="A22" t="str">
        <f>IF(B18=B22,IF(C18=C22,"Check Total OK","Check Total Error"),"Check Total Error")</f>
        <v>Check Total OK</v>
      </c>
      <c r="B22" s="168">
        <f>SUM(B19:B21)</f>
        <v>150191.4</v>
      </c>
      <c r="C22" s="168">
        <f>SUM(C19:C21)</f>
        <v>23543.01</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8887.5</v>
      </c>
      <c r="C36" s="172">
        <f>'DOE25'!G201+'DOE25'!G219+'DOE25'!G237+'DOE25'!G280+'DOE25'!G299+'DOE25'!G318</f>
        <v>1312.4799999999998</v>
      </c>
    </row>
    <row r="37" spans="1:3" x14ac:dyDescent="0.2">
      <c r="A37" t="s">
        <v>772</v>
      </c>
      <c r="B37" s="176">
        <f>800+3137.5</f>
        <v>3937.5</v>
      </c>
      <c r="C37" s="176">
        <f>C36-C38</f>
        <v>904.0999999999998</v>
      </c>
    </row>
    <row r="38" spans="1:3" x14ac:dyDescent="0.2">
      <c r="A38" t="s">
        <v>773</v>
      </c>
      <c r="B38" s="176">
        <f>500+1000+3450</f>
        <v>4950</v>
      </c>
      <c r="C38" s="176">
        <v>408.38</v>
      </c>
    </row>
    <row r="39" spans="1:3" x14ac:dyDescent="0.2">
      <c r="A39" t="s">
        <v>774</v>
      </c>
      <c r="B39" s="176"/>
      <c r="C39" s="176"/>
    </row>
    <row r="40" spans="1:3" x14ac:dyDescent="0.2">
      <c r="A40" t="str">
        <f>IF(B36=B40,IF(C36=C40,"Check Total OK","Check Total Error"),"Check Total Error")</f>
        <v>Check Total OK</v>
      </c>
      <c r="B40" s="168">
        <f>SUM(B37:B39)</f>
        <v>8887.5</v>
      </c>
      <c r="C40" s="168">
        <f>SUM(C37:C39)</f>
        <v>1312.4799999999998</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Stewartstown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1513101.53</v>
      </c>
      <c r="D5" s="19">
        <f>SUM('DOE25'!L198:L201)+SUM('DOE25'!L216:L219)+SUM('DOE25'!L234:L237)-F5-G5-H5</f>
        <v>1447518.31</v>
      </c>
      <c r="E5" s="179"/>
      <c r="F5" s="180">
        <f>19442.72</f>
        <v>19442.72</v>
      </c>
      <c r="G5" s="19">
        <f>SUM('DOE25'!J198:J201)+SUM('DOE25'!J216:J219)+SUM('DOE25'!J234:J237)</f>
        <v>0</v>
      </c>
      <c r="H5" s="19">
        <f>SUM('DOE25'!K198:K201)+SUM('DOE25'!K216:K219)+SUM('DOE25'!K234:K237)</f>
        <v>46140.5</v>
      </c>
      <c r="I5" s="191"/>
    </row>
    <row r="6" spans="1:9" x14ac:dyDescent="0.2">
      <c r="A6" s="31">
        <v>2100</v>
      </c>
      <c r="B6" t="s">
        <v>793</v>
      </c>
      <c r="C6" s="205">
        <f t="shared" si="0"/>
        <v>193071.88999999998</v>
      </c>
      <c r="D6" s="19">
        <f>'DOE25'!L203+'DOE25'!L221+'DOE25'!L239-F6-G6-H6</f>
        <v>174515.41999999998</v>
      </c>
      <c r="E6" s="179"/>
      <c r="F6" s="180">
        <f>16062.5</f>
        <v>16062.5</v>
      </c>
      <c r="G6" s="19">
        <f>'DOE25'!J203+'DOE25'!J221+'DOE25'!J239</f>
        <v>429.97</v>
      </c>
      <c r="H6" s="19">
        <f>'DOE25'!K203+'DOE25'!K221+'DOE25'!K239</f>
        <v>2064</v>
      </c>
      <c r="I6" s="191"/>
    </row>
    <row r="7" spans="1:9" x14ac:dyDescent="0.2">
      <c r="A7" s="31">
        <v>2200</v>
      </c>
      <c r="B7" t="s">
        <v>817</v>
      </c>
      <c r="C7" s="205">
        <f t="shared" si="0"/>
        <v>66780.11</v>
      </c>
      <c r="D7" s="19">
        <f>'DOE25'!L204+'DOE25'!L222+'DOE25'!L240-F7-G7-H7</f>
        <v>60862.79</v>
      </c>
      <c r="E7" s="179"/>
      <c r="F7" s="180"/>
      <c r="G7" s="19">
        <f>'DOE25'!J204+'DOE25'!J222+'DOE25'!J240</f>
        <v>0</v>
      </c>
      <c r="H7" s="19">
        <f>'DOE25'!K204+'DOE25'!K222+'DOE25'!K240</f>
        <v>5917.32</v>
      </c>
      <c r="I7" s="191"/>
    </row>
    <row r="8" spans="1:9" x14ac:dyDescent="0.2">
      <c r="A8" s="31">
        <v>2300</v>
      </c>
      <c r="B8" t="s">
        <v>794</v>
      </c>
      <c r="C8" s="205">
        <f t="shared" si="0"/>
        <v>177567.15999999995</v>
      </c>
      <c r="D8" s="179"/>
      <c r="E8" s="19">
        <f>'DOE25'!L205+'DOE25'!L223+'DOE25'!L241-F8-G8-H8-D9-D11</f>
        <v>174819.00999999995</v>
      </c>
      <c r="F8" s="180"/>
      <c r="G8" s="19">
        <f>'DOE25'!J205+'DOE25'!J223+'DOE25'!J241</f>
        <v>0</v>
      </c>
      <c r="H8" s="19">
        <f>'DOE25'!K205+'DOE25'!K223+'DOE25'!K241</f>
        <v>2748.15</v>
      </c>
      <c r="I8" s="191"/>
    </row>
    <row r="9" spans="1:9" ht="14.25" x14ac:dyDescent="0.2">
      <c r="A9" s="31">
        <v>2310</v>
      </c>
      <c r="B9" s="71" t="s">
        <v>884</v>
      </c>
      <c r="C9" s="205">
        <f t="shared" si="0"/>
        <v>28955.86</v>
      </c>
      <c r="D9" s="180">
        <v>28955.86</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195883.34999999998</v>
      </c>
      <c r="D12" s="19">
        <f>'DOE25'!L206+'DOE25'!L224+'DOE25'!L242-F12-G12-H12</f>
        <v>193226.59999999998</v>
      </c>
      <c r="E12" s="179"/>
      <c r="F12" s="180"/>
      <c r="G12" s="19">
        <f>'DOE25'!J206+'DOE25'!J224+'DOE25'!J242</f>
        <v>246.75</v>
      </c>
      <c r="H12" s="19">
        <f>'DOE25'!K206+'DOE25'!K224+'DOE25'!K242</f>
        <v>2410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130683.62</v>
      </c>
      <c r="D14" s="19">
        <f>'DOE25'!L208+'DOE25'!L226+'DOE25'!L244-F14-G14-H14</f>
        <v>128360.20999999999</v>
      </c>
      <c r="E14" s="179"/>
      <c r="F14" s="180"/>
      <c r="G14" s="19">
        <f>'DOE25'!J208+'DOE25'!J226+'DOE25'!J244</f>
        <v>1089.46</v>
      </c>
      <c r="H14" s="19">
        <f>'DOE25'!K208+'DOE25'!K226+'DOE25'!K244</f>
        <v>1233.95</v>
      </c>
      <c r="I14" s="191"/>
    </row>
    <row r="15" spans="1:9" x14ac:dyDescent="0.2">
      <c r="A15" s="31">
        <v>2700</v>
      </c>
      <c r="B15" t="s">
        <v>796</v>
      </c>
      <c r="C15" s="205">
        <f t="shared" si="0"/>
        <v>206429.03999999998</v>
      </c>
      <c r="D15" s="19">
        <f>'DOE25'!L209+'DOE25'!L227+'DOE25'!L245-F15-G15-H15</f>
        <v>15.049999999981083</v>
      </c>
      <c r="E15" s="179"/>
      <c r="F15" s="180">
        <v>90000</v>
      </c>
      <c r="G15" s="19">
        <f>'DOE25'!J209+'DOE25'!J227+'DOE25'!J245</f>
        <v>65000</v>
      </c>
      <c r="H15" s="19">
        <f>'DOE25'!K209+'DOE25'!K227+'DOE25'!K245</f>
        <v>51413.99</v>
      </c>
      <c r="I15" s="191"/>
    </row>
    <row r="16" spans="1:9" x14ac:dyDescent="0.2">
      <c r="A16" s="31">
        <v>2800</v>
      </c>
      <c r="B16" t="s">
        <v>797</v>
      </c>
      <c r="C16" s="205">
        <f t="shared" si="0"/>
        <v>40356.75</v>
      </c>
      <c r="D16" s="179"/>
      <c r="E16" s="19">
        <f>'DOE25'!L210+'DOE25'!L228+'DOE25'!L246-F16-G16-H16</f>
        <v>24355.309999999998</v>
      </c>
      <c r="F16" s="180"/>
      <c r="G16" s="19">
        <f>'DOE25'!J210+'DOE25'!J228+'DOE25'!J246</f>
        <v>16001.44</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56753.49</v>
      </c>
      <c r="D29" s="211">
        <f>'DOE25'!L359+'DOE25'!L360+'DOE25'!L361-'DOE25'!I368-F29-G29-H29-F39</f>
        <v>43906.49</v>
      </c>
      <c r="E29" s="179"/>
      <c r="F29" s="179"/>
      <c r="G29" s="19">
        <f>'DOE25'!J359+'DOE25'!J360+'DOE25'!J361</f>
        <v>12847</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234512.26</v>
      </c>
      <c r="D31" s="19">
        <f>'DOE25'!L291+'DOE25'!L310+'DOE25'!L329+'DOE25'!L334+'DOE25'!L335+'DOE25'!L336-F31-G31-H31</f>
        <v>217912.61000000002</v>
      </c>
      <c r="E31" s="179"/>
      <c r="F31" s="180">
        <f>3288.5</f>
        <v>3288.5</v>
      </c>
      <c r="G31" s="19">
        <f>'DOE25'!J291+'DOE25'!J310+'DOE25'!J329+'DOE25'!J334+'DOE25'!J335+'DOE25'!J336</f>
        <v>7743</v>
      </c>
      <c r="H31" s="19">
        <f>'DOE25'!K291+'DOE25'!K310+'DOE25'!K329+'DOE25'!K334+'DOE25'!K335+'DOE25'!K336</f>
        <v>5568.15</v>
      </c>
      <c r="I31" s="191"/>
    </row>
    <row r="32" spans="1:9" ht="12" thickBot="1" x14ac:dyDescent="0.25">
      <c r="C32" s="206"/>
      <c r="G32" s="187"/>
      <c r="H32" s="187"/>
      <c r="I32" s="193"/>
    </row>
    <row r="33" spans="1:9" ht="12" thickTop="1" x14ac:dyDescent="0.2">
      <c r="B33" t="s">
        <v>806</v>
      </c>
      <c r="D33" s="181">
        <f t="shared" ref="D33:I33" si="1">SUM(D5:D31)</f>
        <v>2295273.34</v>
      </c>
      <c r="E33" s="181">
        <f t="shared" si="1"/>
        <v>199174.31999999995</v>
      </c>
      <c r="F33" s="181">
        <f t="shared" si="1"/>
        <v>128793.72</v>
      </c>
      <c r="G33" s="181">
        <f t="shared" si="1"/>
        <v>103357.62</v>
      </c>
      <c r="H33" s="181">
        <f t="shared" si="1"/>
        <v>117496.06</v>
      </c>
      <c r="I33" s="181">
        <f t="shared" si="1"/>
        <v>0</v>
      </c>
    </row>
    <row r="34" spans="1:9" ht="12" thickBot="1" x14ac:dyDescent="0.25"/>
    <row r="35" spans="1:9" ht="12" thickBot="1" x14ac:dyDescent="0.25">
      <c r="B35" s="187" t="s">
        <v>827</v>
      </c>
      <c r="D35" s="188">
        <f>E33</f>
        <v>199174.31999999995</v>
      </c>
      <c r="E35" s="184"/>
      <c r="F35" s="294" t="s">
        <v>1596</v>
      </c>
      <c r="G35" s="295"/>
      <c r="H35" s="295"/>
      <c r="I35" s="296"/>
    </row>
    <row r="36" spans="1:9" ht="12" thickTop="1" x14ac:dyDescent="0.2">
      <c r="B36" t="s">
        <v>807</v>
      </c>
      <c r="D36" s="19">
        <f>D33</f>
        <v>2295273.34</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18256.599999999999</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B1" zoomScale="75" zoomScaleNormal="75" workbookViewId="0">
      <selection activeCell="I1" sqref="I1"/>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Stewartstown</v>
      </c>
      <c r="B2">
        <f>'DOE25'!B2</f>
        <v>501</v>
      </c>
      <c r="J2" s="223" t="s">
        <v>1799</v>
      </c>
      <c r="K2" s="308">
        <f>SUM('DOE25'!L198:L201)+SUM('DOE25'!L277:L280)</f>
        <v>903278.42</v>
      </c>
      <c r="L2" s="308">
        <f>'DOE25'!L203+'DOE25'!L282</f>
        <v>227318.94999999998</v>
      </c>
      <c r="M2" s="308">
        <f>'DOE25'!L204+'DOE25'!L283</f>
        <v>113137.76999999999</v>
      </c>
      <c r="N2" s="308">
        <f>'DOE25'!L206+'DOE25'!L285</f>
        <v>195883.34999999998</v>
      </c>
      <c r="O2" s="316">
        <f>'Salaries-Benefits'!B10+'Salaries-Benefits'!B12+'Salaries-Benefits'!B19+'Salaries-Benefits'!B21+'Salaries-Benefits'!B28+'Salaries-Benefits'!B30+'Salaries-Benefits'!B37+'Salaries-Benefits'!B39</f>
        <v>422480.11</v>
      </c>
      <c r="P2" s="316">
        <f>'Salaries-Benefits'!B11+'Salaries-Benefits'!B20+'Salaries-Benefits'!B29+'Salaries-Benefits'!B38</f>
        <v>125715.70999999999</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1910073.24</v>
      </c>
      <c r="G4" s="228">
        <f>'DOE25'!L212+'DOE25'!L291</f>
        <v>1910073.24</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1840</v>
      </c>
      <c r="K5" s="20"/>
      <c r="L5" s="20"/>
      <c r="M5" s="20"/>
      <c r="N5" s="20"/>
      <c r="O5" s="20"/>
      <c r="P5" s="20"/>
      <c r="Q5" s="20"/>
    </row>
    <row r="6" spans="1:22" x14ac:dyDescent="0.2">
      <c r="A6" t="str" cm="1">
        <f t="array" ref="A6">IFERROR(INDEX('School Tables'!$A$4:$G$365,'School Tables'!$J4,3),"")</f>
        <v>Stewartstown Community School</v>
      </c>
      <c r="B6" s="229">
        <f>IFERROR(VLOOKUP(A6,'School Tables'!$C$3:$D$365,2,FALSE),"")</f>
        <v>27560</v>
      </c>
      <c r="C6" s="222" t="str">
        <f>IFERROR(INDEX('School Tables'!$B$3:$B$365,MATCH('School Level Expenditures'!B6,'School Tables'!$D$3:$D$365,0)),"")</f>
        <v>Stewartstown</v>
      </c>
      <c r="D6" s="219">
        <f>1783982.98</f>
        <v>1783982.98</v>
      </c>
      <c r="E6" s="219">
        <v>126090.26</v>
      </c>
      <c r="F6" s="231">
        <f t="shared" ref="F6:F20" si="2">D6+E6</f>
        <v>1910073.24</v>
      </c>
      <c r="G6" s="222"/>
      <c r="H6" s="222"/>
      <c r="J6" t="str">
        <f t="shared" ref="J6:J20" si="3">A6</f>
        <v>Stewartstown Community School</v>
      </c>
      <c r="K6" s="20">
        <v>903278.42</v>
      </c>
      <c r="L6" s="20">
        <v>227318.95</v>
      </c>
      <c r="M6" s="307">
        <v>113137.77</v>
      </c>
      <c r="N6" s="20">
        <v>195883.35</v>
      </c>
      <c r="O6" s="20">
        <v>422480.11</v>
      </c>
      <c r="P6" s="20">
        <v>125715.71</v>
      </c>
      <c r="Q6" s="20">
        <f>2014.03+1337.06+1388.98</f>
        <v>4740.07</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1783982.98</v>
      </c>
      <c r="E21" s="261">
        <f>SUM(E5:E20)</f>
        <v>126090.26</v>
      </c>
      <c r="F21" s="216"/>
      <c r="G21" s="216"/>
      <c r="H21" s="216"/>
      <c r="K21" s="262">
        <f t="shared" ref="K21:Q21" si="4">SUM(K5:K20)</f>
        <v>903278.42</v>
      </c>
      <c r="L21" s="262">
        <f t="shared" si="4"/>
        <v>227318.95</v>
      </c>
      <c r="M21" s="262">
        <f t="shared" si="4"/>
        <v>113137.77</v>
      </c>
      <c r="N21" s="262">
        <f t="shared" si="4"/>
        <v>195883.35</v>
      </c>
      <c r="O21" s="262">
        <f t="shared" si="4"/>
        <v>422480.11</v>
      </c>
      <c r="P21" s="262">
        <f t="shared" si="4"/>
        <v>125715.71</v>
      </c>
      <c r="Q21" s="262">
        <f t="shared" si="4"/>
        <v>4740.07</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731986.15</v>
      </c>
      <c r="L36" s="19">
        <f>'DOE25'!L239+'DOE25'!L320</f>
        <v>635.25</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877268.33</v>
      </c>
      <c r="G38" s="228">
        <f>'DOE25'!L248+'DOE25'!L329</f>
        <v>877268.33</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854037.33</v>
      </c>
      <c r="E39" s="219">
        <f>23231</f>
        <v>23231</v>
      </c>
      <c r="F39" s="231">
        <f t="shared" ref="F39:F44" si="10">D39+E39</f>
        <v>877268.33</v>
      </c>
      <c r="G39" s="222"/>
      <c r="H39" s="222"/>
      <c r="J39" s="71" t="s">
        <v>1840</v>
      </c>
      <c r="K39" s="315">
        <f>731986.15</f>
        <v>731986.15</v>
      </c>
      <c r="L39" s="315">
        <v>635.25</v>
      </c>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854037.33</v>
      </c>
      <c r="E45" s="262">
        <f>SUM(E39:E44)</f>
        <v>23231</v>
      </c>
      <c r="K45" s="262">
        <f t="shared" ref="K45:Q45" si="11">SUM(K39:K44)</f>
        <v>731986.15</v>
      </c>
      <c r="L45" s="262">
        <f t="shared" si="11"/>
        <v>635.25</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Stewartstown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319004.44</v>
      </c>
      <c r="D8" s="73">
        <f>'DOE25'!G9</f>
        <v>151961.87</v>
      </c>
      <c r="E8" s="73">
        <f>'DOE25'!H9</f>
        <v>0</v>
      </c>
      <c r="F8" s="73">
        <f>'DOE25'!I9</f>
        <v>0</v>
      </c>
      <c r="G8" s="73">
        <f>'DOE25'!J9</f>
        <v>361454.45000000007</v>
      </c>
      <c r="H8" s="13">
        <f>SUM(C8:G8)</f>
        <v>832420.76</v>
      </c>
      <c r="I8" s="90"/>
    </row>
    <row r="9" spans="1:9" x14ac:dyDescent="0.2">
      <c r="A9" s="1" t="s">
        <v>140</v>
      </c>
      <c r="B9" s="6">
        <v>110</v>
      </c>
      <c r="C9" s="73">
        <f>'DOE25'!F10</f>
        <v>41227.620000000003</v>
      </c>
      <c r="D9" s="73">
        <f>'DOE25'!G10</f>
        <v>0</v>
      </c>
      <c r="E9" s="73">
        <f>'DOE25'!H10</f>
        <v>0</v>
      </c>
      <c r="F9" s="73">
        <f>'DOE25'!I10</f>
        <v>0</v>
      </c>
      <c r="G9" s="73">
        <f>'DOE25'!J10</f>
        <v>0</v>
      </c>
      <c r="H9" s="13">
        <f t="shared" ref="H9:H18" si="0">SUM(C9:G9)</f>
        <v>41227.620000000003</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116820.53</v>
      </c>
      <c r="D11" s="73">
        <f>'DOE25'!G12</f>
        <v>0</v>
      </c>
      <c r="E11" s="73">
        <f>'DOE25'!H12</f>
        <v>8507.4600000000009</v>
      </c>
      <c r="F11" s="73">
        <f>'DOE25'!I12</f>
        <v>0</v>
      </c>
      <c r="G11" s="73">
        <f>'DOE25'!J12</f>
        <v>0</v>
      </c>
      <c r="H11" s="13">
        <f t="shared" si="0"/>
        <v>125327.99</v>
      </c>
      <c r="I11" s="90"/>
    </row>
    <row r="12" spans="1:9" x14ac:dyDescent="0.2">
      <c r="A12" s="1" t="s">
        <v>143</v>
      </c>
      <c r="B12" s="6">
        <v>140</v>
      </c>
      <c r="C12" s="73">
        <f>'DOE25'!F13</f>
        <v>7979.96</v>
      </c>
      <c r="D12" s="73">
        <f>'DOE25'!G13</f>
        <v>6450.26</v>
      </c>
      <c r="E12" s="73">
        <f>'DOE25'!H13</f>
        <v>48014.2</v>
      </c>
      <c r="F12" s="73">
        <f>'DOE25'!I13</f>
        <v>0</v>
      </c>
      <c r="G12" s="73">
        <f>'DOE25'!J13</f>
        <v>64530</v>
      </c>
      <c r="H12" s="13">
        <f t="shared" si="0"/>
        <v>126974.42</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1264.76</v>
      </c>
      <c r="E15" s="73">
        <f>'DOE25'!H16</f>
        <v>0</v>
      </c>
      <c r="F15" s="73">
        <f>'DOE25'!I16</f>
        <v>0</v>
      </c>
      <c r="G15" s="23" t="s">
        <v>288</v>
      </c>
      <c r="H15" s="13">
        <f t="shared" si="0"/>
        <v>1264.76</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485032.55</v>
      </c>
      <c r="D18" s="38">
        <f>SUM(D8:D17)</f>
        <v>159676.89000000001</v>
      </c>
      <c r="E18" s="38">
        <f>SUM(E8:E17)</f>
        <v>56521.659999999996</v>
      </c>
      <c r="F18" s="38">
        <f>SUM(F8:F17)</f>
        <v>0</v>
      </c>
      <c r="G18" s="38">
        <f>SUM(G8:G17)</f>
        <v>425984.45000000007</v>
      </c>
      <c r="H18" s="38">
        <f t="shared" si="0"/>
        <v>1127215.55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146844.4</v>
      </c>
      <c r="E21" s="73">
        <f>'DOE25'!H22</f>
        <v>43023.09</v>
      </c>
      <c r="F21" s="73">
        <f>'DOE25'!I22</f>
        <v>0</v>
      </c>
      <c r="G21" s="73">
        <f>'DOE25'!J22</f>
        <v>0</v>
      </c>
      <c r="H21" s="13">
        <f t="shared" ref="H21:H31" si="1">SUM(C21:G21)</f>
        <v>189867.49</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71875.86</v>
      </c>
      <c r="D23" s="73">
        <f>'DOE25'!G24</f>
        <v>5460.99</v>
      </c>
      <c r="E23" s="73">
        <f>'DOE25'!H24</f>
        <v>0</v>
      </c>
      <c r="F23" s="73">
        <f>'DOE25'!I24</f>
        <v>0</v>
      </c>
      <c r="G23" s="73">
        <f>'DOE25'!J24</f>
        <v>64530</v>
      </c>
      <c r="H23" s="13">
        <f t="shared" si="1"/>
        <v>141866.85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3308.65</v>
      </c>
      <c r="D27" s="73">
        <f>'DOE25'!G28</f>
        <v>0</v>
      </c>
      <c r="E27" s="73">
        <f>'DOE25'!H28</f>
        <v>0</v>
      </c>
      <c r="F27" s="73">
        <f>'DOE25'!I28</f>
        <v>0</v>
      </c>
      <c r="G27" s="23" t="s">
        <v>288</v>
      </c>
      <c r="H27" s="13">
        <f t="shared" si="1"/>
        <v>3308.65</v>
      </c>
      <c r="I27" s="90"/>
    </row>
    <row r="28" spans="1:9" x14ac:dyDescent="0.2">
      <c r="A28" s="1" t="s">
        <v>157</v>
      </c>
      <c r="B28" s="6">
        <v>470</v>
      </c>
      <c r="C28" s="73">
        <f>'DOE25'!F29</f>
        <v>498.04</v>
      </c>
      <c r="D28" s="73">
        <f>'DOE25'!G29</f>
        <v>0</v>
      </c>
      <c r="E28" s="73">
        <f>'DOE25'!H29</f>
        <v>0</v>
      </c>
      <c r="F28" s="73">
        <f>'DOE25'!I29</f>
        <v>0</v>
      </c>
      <c r="G28" s="23" t="s">
        <v>288</v>
      </c>
      <c r="H28" s="13">
        <f t="shared" si="1"/>
        <v>498.04</v>
      </c>
      <c r="I28" s="90"/>
    </row>
    <row r="29" spans="1:9" x14ac:dyDescent="0.2">
      <c r="A29" s="1" t="s">
        <v>158</v>
      </c>
      <c r="B29" s="6">
        <v>480</v>
      </c>
      <c r="C29" s="73">
        <f>'DOE25'!F30</f>
        <v>0</v>
      </c>
      <c r="D29" s="73">
        <f>'DOE25'!G30</f>
        <v>3788.43</v>
      </c>
      <c r="E29" s="73">
        <f>'DOE25'!H30</f>
        <v>13498.57</v>
      </c>
      <c r="F29" s="73">
        <f>'DOE25'!I30</f>
        <v>0</v>
      </c>
      <c r="G29" s="23" t="s">
        <v>288</v>
      </c>
      <c r="H29" s="13">
        <f t="shared" si="1"/>
        <v>17287</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75682.549999999988</v>
      </c>
      <c r="D31" s="38">
        <f>SUM(D21:D30)</f>
        <v>156093.81999999998</v>
      </c>
      <c r="E31" s="38">
        <f>SUM(E21:E30)</f>
        <v>56521.659999999996</v>
      </c>
      <c r="F31" s="38">
        <f>SUM(F21:F30)</f>
        <v>0</v>
      </c>
      <c r="G31" s="38">
        <f>SUM(G21:G30)</f>
        <v>64530</v>
      </c>
      <c r="H31" s="38">
        <f t="shared" si="1"/>
        <v>352828.02999999997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1264.76</v>
      </c>
      <c r="E34" s="73">
        <f>'DOE25'!H35</f>
        <v>0</v>
      </c>
      <c r="F34" s="73">
        <f>'DOE25'!I35</f>
        <v>0</v>
      </c>
      <c r="G34" s="23" t="s">
        <v>288</v>
      </c>
      <c r="H34" s="13">
        <f t="shared" ref="H34:H51" si="2">SUM(C34:G34)</f>
        <v>1264.76</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103882.35</v>
      </c>
      <c r="D45" s="23" t="s">
        <v>288</v>
      </c>
      <c r="E45" s="23" t="s">
        <v>288</v>
      </c>
      <c r="F45" s="23" t="s">
        <v>288</v>
      </c>
      <c r="G45" s="23" t="s">
        <v>288</v>
      </c>
      <c r="H45" s="13">
        <f t="shared" si="2"/>
        <v>103882.35</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2318.3100000000013</v>
      </c>
      <c r="E47" s="73">
        <f>'DOE25'!H48</f>
        <v>0</v>
      </c>
      <c r="F47" s="73">
        <f>'DOE25'!I48</f>
        <v>0</v>
      </c>
      <c r="G47" s="73">
        <f>'DOE25'!J48</f>
        <v>361454.45000000007</v>
      </c>
      <c r="H47" s="13">
        <f t="shared" si="2"/>
        <v>363772.76000000007</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305467.65000000002</v>
      </c>
      <c r="D49" s="23" t="s">
        <v>288</v>
      </c>
      <c r="E49" s="23" t="s">
        <v>288</v>
      </c>
      <c r="F49" s="23" t="s">
        <v>288</v>
      </c>
      <c r="G49" s="23" t="s">
        <v>288</v>
      </c>
      <c r="H49" s="13">
        <f t="shared" si="2"/>
        <v>305467.65000000002</v>
      </c>
      <c r="I49" s="90"/>
    </row>
    <row r="50" spans="1:9" ht="12.75" thickTop="1" thickBot="1" x14ac:dyDescent="0.25">
      <c r="A50" s="35" t="s">
        <v>880</v>
      </c>
      <c r="B50" s="44"/>
      <c r="C50" s="38">
        <f>SUM(C34:C49)</f>
        <v>409350</v>
      </c>
      <c r="D50" s="38">
        <f>SUM(D34:D49)</f>
        <v>3583.0700000000015</v>
      </c>
      <c r="E50" s="38">
        <f>SUM(E34:E49)</f>
        <v>0</v>
      </c>
      <c r="F50" s="38">
        <f>SUM(F34:F49)</f>
        <v>0</v>
      </c>
      <c r="G50" s="38">
        <f>SUM(G34:G49)</f>
        <v>361454.45000000007</v>
      </c>
      <c r="H50" s="38">
        <f t="shared" si="2"/>
        <v>774387.52</v>
      </c>
      <c r="I50" s="90"/>
    </row>
    <row r="51" spans="1:9" ht="12" thickTop="1" x14ac:dyDescent="0.2">
      <c r="A51" s="35" t="s">
        <v>881</v>
      </c>
      <c r="B51" s="2"/>
      <c r="C51" s="38">
        <f>C50+C31</f>
        <v>485032.55</v>
      </c>
      <c r="D51" s="38">
        <f>D50+D31</f>
        <v>159676.88999999998</v>
      </c>
      <c r="E51" s="38">
        <f>E50+E31</f>
        <v>56521.659999999996</v>
      </c>
      <c r="F51" s="38">
        <f>F50+F31</f>
        <v>0</v>
      </c>
      <c r="G51" s="38">
        <f>G50+G31</f>
        <v>425984.45000000007</v>
      </c>
      <c r="H51" s="38">
        <f t="shared" si="2"/>
        <v>1127215.55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1907836</v>
      </c>
      <c r="D56" s="73">
        <f>'DOE25'!G60</f>
        <v>0</v>
      </c>
      <c r="E56" s="73">
        <f>'DOE25'!H60</f>
        <v>0</v>
      </c>
      <c r="F56" s="73">
        <f>'DOE25'!I60</f>
        <v>0</v>
      </c>
      <c r="G56" s="73">
        <f>'DOE25'!J60</f>
        <v>0</v>
      </c>
      <c r="H56" s="13">
        <f t="shared" ref="H56:H63" si="3">SUM(C56:G56)</f>
        <v>1907836</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2159.96</v>
      </c>
      <c r="D59" s="73">
        <f>'DOE25'!G96</f>
        <v>0</v>
      </c>
      <c r="E59" s="73">
        <f>'DOE25'!H96</f>
        <v>0</v>
      </c>
      <c r="F59" s="73">
        <f>'DOE25'!I96</f>
        <v>0</v>
      </c>
      <c r="G59" s="73">
        <f>'DOE25'!J96</f>
        <v>435</v>
      </c>
      <c r="H59" s="13">
        <f t="shared" si="3"/>
        <v>2594.96</v>
      </c>
      <c r="I59"/>
    </row>
    <row r="60" spans="1:9" x14ac:dyDescent="0.2">
      <c r="A60" s="1" t="s">
        <v>170</v>
      </c>
      <c r="B60" s="22" t="s">
        <v>171</v>
      </c>
      <c r="C60" s="23" t="s">
        <v>288</v>
      </c>
      <c r="D60" s="73">
        <f>'DOE25'!G97</f>
        <v>8606.32</v>
      </c>
      <c r="E60" s="23" t="s">
        <v>288</v>
      </c>
      <c r="F60" s="23" t="s">
        <v>288</v>
      </c>
      <c r="G60" s="23" t="s">
        <v>288</v>
      </c>
      <c r="H60" s="13">
        <f t="shared" si="3"/>
        <v>8606.32</v>
      </c>
      <c r="I60"/>
    </row>
    <row r="61" spans="1:9" ht="12" thickBot="1" x14ac:dyDescent="0.25">
      <c r="A61" s="1" t="s">
        <v>172</v>
      </c>
      <c r="B61" s="22" t="s">
        <v>173</v>
      </c>
      <c r="C61" s="73">
        <f>SUM('DOE25'!F98:F110)</f>
        <v>6004.06</v>
      </c>
      <c r="D61" s="73">
        <f>SUM('DOE25'!G98:G110)</f>
        <v>0</v>
      </c>
      <c r="E61" s="73">
        <f>SUM('DOE25'!H98:H110)</f>
        <v>139.47999999999999</v>
      </c>
      <c r="F61" s="73">
        <f>SUM('DOE25'!I98:I110)</f>
        <v>0</v>
      </c>
      <c r="G61" s="73">
        <f>SUM('DOE25'!J98:J110)</f>
        <v>0</v>
      </c>
      <c r="H61" s="13">
        <f t="shared" si="3"/>
        <v>6143.54</v>
      </c>
      <c r="I61"/>
    </row>
    <row r="62" spans="1:9" ht="12.75" thickTop="1" thickBot="1" x14ac:dyDescent="0.25">
      <c r="A62" s="28" t="s">
        <v>174</v>
      </c>
      <c r="B62" s="6"/>
      <c r="C62" s="93">
        <f>SUM(C57:C61)</f>
        <v>8164.02</v>
      </c>
      <c r="D62" s="93">
        <f>SUM(D57:D61)</f>
        <v>8606.32</v>
      </c>
      <c r="E62" s="93">
        <f>SUM(E57:E61)</f>
        <v>139.47999999999999</v>
      </c>
      <c r="F62" s="93">
        <f>SUM(F57:F61)</f>
        <v>0</v>
      </c>
      <c r="G62" s="93">
        <f>SUM(G57:G61)</f>
        <v>435</v>
      </c>
      <c r="H62" s="13">
        <f t="shared" si="3"/>
        <v>17344.82</v>
      </c>
      <c r="I62"/>
    </row>
    <row r="63" spans="1:9" ht="12" thickTop="1" x14ac:dyDescent="0.2">
      <c r="A63" s="28" t="s">
        <v>175</v>
      </c>
      <c r="B63" s="6"/>
      <c r="C63" s="21">
        <f>C56+C62</f>
        <v>1916000.02</v>
      </c>
      <c r="D63" s="21">
        <f>D56+D62</f>
        <v>8606.32</v>
      </c>
      <c r="E63" s="21">
        <f>E56+E62</f>
        <v>139.47999999999999</v>
      </c>
      <c r="F63" s="21">
        <f>F56+F62</f>
        <v>0</v>
      </c>
      <c r="G63" s="21">
        <f>G56+G62</f>
        <v>435</v>
      </c>
      <c r="H63" s="13">
        <f t="shared" si="3"/>
        <v>1925180.82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617662.29</v>
      </c>
      <c r="D66" s="23" t="s">
        <v>288</v>
      </c>
      <c r="E66" s="23" t="s">
        <v>288</v>
      </c>
      <c r="F66" s="23" t="s">
        <v>288</v>
      </c>
      <c r="G66" s="23" t="s">
        <v>288</v>
      </c>
      <c r="H66" s="13">
        <f t="shared" ref="H66:H81" si="4">SUM(C66:G66)</f>
        <v>617662.29</v>
      </c>
      <c r="I66"/>
    </row>
    <row r="67" spans="1:9" x14ac:dyDescent="0.2">
      <c r="A67" s="1" t="s">
        <v>767</v>
      </c>
      <c r="B67" s="6">
        <v>3112</v>
      </c>
      <c r="C67" s="73">
        <f>'DOE25'!F118</f>
        <v>169811</v>
      </c>
      <c r="D67" s="23"/>
      <c r="E67" s="23"/>
      <c r="F67" s="23"/>
      <c r="G67" s="23"/>
      <c r="H67" s="13">
        <f t="shared" si="4"/>
        <v>169811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787473.29</v>
      </c>
      <c r="D70" s="97">
        <f>D69</f>
        <v>0</v>
      </c>
      <c r="E70" s="97">
        <f>E69</f>
        <v>0</v>
      </c>
      <c r="F70" s="97">
        <f>F69</f>
        <v>0</v>
      </c>
      <c r="G70" s="97">
        <f>G69</f>
        <v>0</v>
      </c>
      <c r="H70" s="13">
        <f t="shared" si="4"/>
        <v>787473.29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3240.79</v>
      </c>
      <c r="D75" s="23" t="s">
        <v>288</v>
      </c>
      <c r="E75" s="23" t="s">
        <v>288</v>
      </c>
      <c r="F75" s="23" t="s">
        <v>288</v>
      </c>
      <c r="G75" s="23" t="s">
        <v>288</v>
      </c>
      <c r="H75" s="13">
        <f t="shared" si="4"/>
        <v>3240.79</v>
      </c>
      <c r="I75"/>
    </row>
    <row r="76" spans="1:9" x14ac:dyDescent="0.2">
      <c r="A76" s="1" t="s">
        <v>257</v>
      </c>
      <c r="B76" s="6" t="s">
        <v>179</v>
      </c>
      <c r="C76" s="73">
        <f>SUM('DOE25'!F127:F130)</f>
        <v>3636.68</v>
      </c>
      <c r="D76" s="23" t="s">
        <v>288</v>
      </c>
      <c r="E76" s="73">
        <f>SUM('DOE25'!H127:H130)</f>
        <v>0</v>
      </c>
      <c r="F76" s="73">
        <f>SUM('DOE25'!I127:I130)</f>
        <v>0</v>
      </c>
      <c r="G76" s="23" t="s">
        <v>288</v>
      </c>
      <c r="H76" s="13">
        <f t="shared" si="4"/>
        <v>3636.68</v>
      </c>
      <c r="I76"/>
    </row>
    <row r="77" spans="1:9" ht="12" thickBot="1" x14ac:dyDescent="0.25">
      <c r="A77" s="1" t="s">
        <v>258</v>
      </c>
      <c r="B77" s="6" t="s">
        <v>180</v>
      </c>
      <c r="C77" s="73">
        <f>SUM('DOE25'!F131:F135)</f>
        <v>0</v>
      </c>
      <c r="D77" s="73">
        <f>SUM('DOE25'!G131:G135)</f>
        <v>239.4</v>
      </c>
      <c r="E77" s="73">
        <f>SUM('DOE25'!H131:H135)</f>
        <v>0</v>
      </c>
      <c r="F77" s="73">
        <f>SUM('DOE25'!I131:I135)</f>
        <v>0</v>
      </c>
      <c r="G77" s="73">
        <f>SUM('DOE25'!J131:J135)</f>
        <v>0</v>
      </c>
      <c r="H77" s="13">
        <f t="shared" si="4"/>
        <v>239.4</v>
      </c>
      <c r="I77"/>
    </row>
    <row r="78" spans="1:9" ht="12.75" thickTop="1" thickBot="1" x14ac:dyDescent="0.25">
      <c r="A78" s="28" t="s">
        <v>259</v>
      </c>
      <c r="B78" s="6"/>
      <c r="C78" s="93">
        <f>SUM(C72:C77)</f>
        <v>6877.4699999999993</v>
      </c>
      <c r="D78" s="93">
        <f>SUM(D72:D77)</f>
        <v>239.4</v>
      </c>
      <c r="E78" s="93">
        <f>SUM(E72:E77)</f>
        <v>0</v>
      </c>
      <c r="F78" s="93">
        <f>SUM(F72:F77)</f>
        <v>0</v>
      </c>
      <c r="G78" s="93">
        <f>SUM(G72:G77)</f>
        <v>0</v>
      </c>
      <c r="H78" s="13">
        <f t="shared" si="4"/>
        <v>7116.869999999999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794350.76</v>
      </c>
      <c r="D81" s="93">
        <f>SUM(D79:D80)+D78+D70</f>
        <v>239.4</v>
      </c>
      <c r="E81" s="93">
        <f>SUM(E79:E80)+E78+E70</f>
        <v>0</v>
      </c>
      <c r="F81" s="93">
        <f>SUM(F79:F80)+F78+F70</f>
        <v>0</v>
      </c>
      <c r="G81" s="93">
        <f>SUM(G79:G80)+G78+G70</f>
        <v>0</v>
      </c>
      <c r="H81" s="93">
        <f t="shared" si="4"/>
        <v>794590.16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3679.76</v>
      </c>
      <c r="F85" s="73">
        <f>'DOE25'!I147</f>
        <v>0</v>
      </c>
      <c r="G85" s="23" t="s">
        <v>288</v>
      </c>
      <c r="H85" s="13">
        <f t="shared" ref="H85:H104" si="5">SUM(C85:G85)</f>
        <v>3679.76</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43877.3</v>
      </c>
      <c r="E88" s="252">
        <f>SUM('DOE25'!H153:H162)</f>
        <v>230693.02000000002</v>
      </c>
      <c r="F88" s="252">
        <f>SUM('DOE25'!I153:I162)</f>
        <v>0</v>
      </c>
      <c r="G88" s="23" t="s">
        <v>288</v>
      </c>
      <c r="H88" s="13">
        <f t="shared" si="5"/>
        <v>274570.32</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4560.6099999999997</v>
      </c>
      <c r="D90" s="23" t="s">
        <v>288</v>
      </c>
      <c r="E90" s="23" t="s">
        <v>288</v>
      </c>
      <c r="F90" s="23" t="s">
        <v>288</v>
      </c>
      <c r="G90" s="23" t="s">
        <v>288</v>
      </c>
      <c r="H90" s="13">
        <f t="shared" si="5"/>
        <v>4560.6099999999997</v>
      </c>
    </row>
    <row r="91" spans="1:9" ht="12.75" thickTop="1" thickBot="1" x14ac:dyDescent="0.25">
      <c r="A91" s="32" t="s">
        <v>747</v>
      </c>
      <c r="C91" s="94">
        <f>SUM(C85:C90)</f>
        <v>4560.6099999999997</v>
      </c>
      <c r="D91" s="94">
        <f>SUM(D85:D90)</f>
        <v>43877.3</v>
      </c>
      <c r="E91" s="94">
        <f>SUM(E85:E90)</f>
        <v>234372.78000000003</v>
      </c>
      <c r="F91" s="94">
        <f>SUM(F85:F90)</f>
        <v>0</v>
      </c>
      <c r="G91" s="23" t="s">
        <v>288</v>
      </c>
      <c r="H91" s="13">
        <f t="shared" si="5"/>
        <v>282810.69000000006</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108422</v>
      </c>
      <c r="H96" s="13">
        <f t="shared" si="5"/>
        <v>108422</v>
      </c>
    </row>
    <row r="97" spans="1:8" x14ac:dyDescent="0.2">
      <c r="A97" t="s">
        <v>751</v>
      </c>
      <c r="B97" s="31" t="s">
        <v>188</v>
      </c>
      <c r="C97" s="73">
        <f>SUM('DOE25'!F181:F182)</f>
        <v>-4560.6099999999997</v>
      </c>
      <c r="D97" s="73">
        <f>SUM('DOE25'!G181:G182)</f>
        <v>0</v>
      </c>
      <c r="E97" s="73">
        <f>SUM('DOE25'!H181:H182)</f>
        <v>0</v>
      </c>
      <c r="F97" s="73">
        <f>SUM('DOE25'!I181:I182)</f>
        <v>0</v>
      </c>
      <c r="G97" s="73">
        <f>SUM('DOE25'!J181:J182)</f>
        <v>0</v>
      </c>
      <c r="H97" s="13">
        <f t="shared" si="5"/>
        <v>-4560.6099999999997</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64530</v>
      </c>
      <c r="D99" s="73">
        <f>'DOE25'!G186</f>
        <v>0</v>
      </c>
      <c r="E99" s="73">
        <f>'DOE25'!H186</f>
        <v>0</v>
      </c>
      <c r="F99" s="73">
        <f>'DOE25'!I186</f>
        <v>0</v>
      </c>
      <c r="G99" s="23" t="s">
        <v>288</v>
      </c>
      <c r="H99" s="13">
        <f t="shared" si="5"/>
        <v>64530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59969.39</v>
      </c>
      <c r="D103" s="68">
        <f>SUM(D93:D102)</f>
        <v>0</v>
      </c>
      <c r="E103" s="68">
        <f>SUM(E93:E102)</f>
        <v>0</v>
      </c>
      <c r="F103" s="68">
        <f>SUM(F93:F102)</f>
        <v>0</v>
      </c>
      <c r="G103" s="68">
        <f>SUM(G93:G102)</f>
        <v>108422</v>
      </c>
      <c r="H103" s="68">
        <f t="shared" si="5"/>
        <v>168391.39</v>
      </c>
    </row>
    <row r="104" spans="1:8" ht="12.75" thickTop="1" thickBot="1" x14ac:dyDescent="0.25">
      <c r="A104" s="32" t="s">
        <v>758</v>
      </c>
      <c r="C104" s="68">
        <f>C63+C81+C91+C103</f>
        <v>2774880.7800000003</v>
      </c>
      <c r="D104" s="68">
        <f>D63+D81+D91+D103</f>
        <v>52723.020000000004</v>
      </c>
      <c r="E104" s="68">
        <f>E63+E81+E91+E103</f>
        <v>234512.26000000004</v>
      </c>
      <c r="F104" s="68">
        <f>F63+F81+F91+F103</f>
        <v>0</v>
      </c>
      <c r="G104" s="68">
        <f>G63+G81+G103</f>
        <v>108857</v>
      </c>
      <c r="H104" s="68">
        <f t="shared" si="5"/>
        <v>3170973.0600000005</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1229679.8799999999</v>
      </c>
      <c r="D109" s="23" t="s">
        <v>288</v>
      </c>
      <c r="E109" s="73">
        <f>('DOE25'!L277)+('DOE25'!L296)+('DOE25'!L315)</f>
        <v>79467.070000000007</v>
      </c>
      <c r="F109" s="23" t="s">
        <v>288</v>
      </c>
      <c r="G109" s="23" t="s">
        <v>288</v>
      </c>
      <c r="H109" s="13">
        <f t="shared" ref="H109:H115" si="6">SUM(C109:G109)</f>
        <v>1309146.95</v>
      </c>
    </row>
    <row r="110" spans="1:8" x14ac:dyDescent="0.2">
      <c r="A110" t="s">
        <v>198</v>
      </c>
      <c r="B110" s="31" t="s">
        <v>199</v>
      </c>
      <c r="C110" s="73">
        <f>('DOE25'!L199)+('DOE25'!L217)+('DOE25'!L235)</f>
        <v>268705.28999999998</v>
      </c>
      <c r="D110" s="23" t="s">
        <v>288</v>
      </c>
      <c r="E110" s="73">
        <f>('DOE25'!L278)+('DOE25'!L297)+('DOE25'!L316)</f>
        <v>31312.35</v>
      </c>
      <c r="F110" s="23" t="s">
        <v>288</v>
      </c>
      <c r="G110" s="23" t="s">
        <v>288</v>
      </c>
      <c r="H110" s="13">
        <f t="shared" si="6"/>
        <v>300017.63999999996</v>
      </c>
    </row>
    <row r="111" spans="1:8" x14ac:dyDescent="0.2">
      <c r="A111" t="s">
        <v>200</v>
      </c>
      <c r="B111" s="31" t="s">
        <v>165</v>
      </c>
      <c r="C111" s="73">
        <f>('DOE25'!L200)+('DOE25'!L218)+('DOE25'!L236)</f>
        <v>11000</v>
      </c>
      <c r="D111" s="23" t="s">
        <v>288</v>
      </c>
      <c r="E111" s="73">
        <f>('DOE25'!L279)+('DOE25'!L298)+('DOE25'!L317)</f>
        <v>0</v>
      </c>
      <c r="F111" s="23" t="s">
        <v>288</v>
      </c>
      <c r="G111" s="23" t="s">
        <v>288</v>
      </c>
      <c r="H111" s="13">
        <f t="shared" si="6"/>
        <v>11000</v>
      </c>
    </row>
    <row r="112" spans="1:8" x14ac:dyDescent="0.2">
      <c r="A112" t="s">
        <v>201</v>
      </c>
      <c r="B112" s="31" t="s">
        <v>167</v>
      </c>
      <c r="C112" s="73">
        <f>('DOE25'!L201)+('DOE25'!L219)+('DOE25'!L237)</f>
        <v>3716.36</v>
      </c>
      <c r="D112" s="23" t="s">
        <v>288</v>
      </c>
      <c r="E112" s="73">
        <f>+('DOE25'!L280)+('DOE25'!L299)+('DOE25'!L318)</f>
        <v>11383.619999999999</v>
      </c>
      <c r="F112" s="23" t="s">
        <v>288</v>
      </c>
      <c r="G112" s="23" t="s">
        <v>288</v>
      </c>
      <c r="H112" s="13">
        <f t="shared" si="6"/>
        <v>15099.98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1513101.53</v>
      </c>
      <c r="D115" s="68">
        <f>SUM(D109:D114)</f>
        <v>0</v>
      </c>
      <c r="E115" s="68">
        <f>SUM(E109:E114)</f>
        <v>122163.04000000001</v>
      </c>
      <c r="F115" s="68">
        <f>SUM(F109:F114)</f>
        <v>0</v>
      </c>
      <c r="G115" s="68">
        <f>SUM(G109:G114)</f>
        <v>0</v>
      </c>
      <c r="H115" s="68">
        <f t="shared" si="6"/>
        <v>1635264.57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193071.88999999998</v>
      </c>
      <c r="D118" s="23" t="s">
        <v>288</v>
      </c>
      <c r="E118" s="73">
        <f>+('DOE25'!L282)+('DOE25'!L301)+('DOE25'!L320)</f>
        <v>34882.31</v>
      </c>
      <c r="F118" s="23" t="s">
        <v>288</v>
      </c>
      <c r="G118" s="23" t="s">
        <v>288</v>
      </c>
      <c r="H118" s="13">
        <f t="shared" ref="H118:H145" si="7">SUM(C118:G118)</f>
        <v>227954.19999999998</v>
      </c>
    </row>
    <row r="119" spans="1:8" x14ac:dyDescent="0.2">
      <c r="A119" t="s">
        <v>208</v>
      </c>
      <c r="B119" s="31" t="s">
        <v>209</v>
      </c>
      <c r="C119" s="73">
        <f>('DOE25'!L204)+('DOE25'!L222)+('DOE25'!L240)</f>
        <v>66780.11</v>
      </c>
      <c r="D119" s="23" t="s">
        <v>288</v>
      </c>
      <c r="E119" s="73">
        <f>+('DOE25'!L283)+('DOE25'!L302)+('DOE25'!L321)</f>
        <v>46357.659999999996</v>
      </c>
      <c r="F119" s="23" t="s">
        <v>288</v>
      </c>
      <c r="G119" s="23" t="s">
        <v>288</v>
      </c>
      <c r="H119" s="13">
        <f t="shared" si="7"/>
        <v>113137.76999999999</v>
      </c>
    </row>
    <row r="120" spans="1:8" x14ac:dyDescent="0.2">
      <c r="A120" t="s">
        <v>210</v>
      </c>
      <c r="B120" s="31" t="s">
        <v>211</v>
      </c>
      <c r="C120" s="73">
        <f>('DOE25'!L205)+('DOE25'!L223)+('DOE25'!L241)</f>
        <v>206523.01999999996</v>
      </c>
      <c r="D120" s="23" t="s">
        <v>288</v>
      </c>
      <c r="E120" s="73">
        <f>+('DOE25'!L284)+('DOE25'!L303)+('DOE25'!L322)</f>
        <v>477.34000000000003</v>
      </c>
      <c r="F120" s="23" t="s">
        <v>288</v>
      </c>
      <c r="G120" s="23" t="s">
        <v>288</v>
      </c>
      <c r="H120" s="13">
        <f t="shared" si="7"/>
        <v>207000.35999999996</v>
      </c>
    </row>
    <row r="121" spans="1:8" x14ac:dyDescent="0.2">
      <c r="A121" t="s">
        <v>212</v>
      </c>
      <c r="B121" s="31" t="s">
        <v>213</v>
      </c>
      <c r="C121" s="73">
        <f>('DOE25'!L206)+('DOE25'!L224)+('DOE25'!L242)</f>
        <v>195883.34999999998</v>
      </c>
      <c r="D121" s="23" t="s">
        <v>288</v>
      </c>
      <c r="E121" s="73">
        <f>+('DOE25'!L285)+('DOE25'!L304)+('DOE25'!L323)</f>
        <v>0</v>
      </c>
      <c r="F121" s="23" t="s">
        <v>288</v>
      </c>
      <c r="G121" s="23" t="s">
        <v>288</v>
      </c>
      <c r="H121" s="13">
        <f t="shared" si="7"/>
        <v>195883.34999999998</v>
      </c>
    </row>
    <row r="122" spans="1:8" x14ac:dyDescent="0.2">
      <c r="A122" t="s">
        <v>214</v>
      </c>
      <c r="B122" s="31" t="s">
        <v>215</v>
      </c>
      <c r="C122" s="73">
        <f>('DOE25'!L207)+('DOE25'!L225)+('DOE25'!L243)</f>
        <v>0</v>
      </c>
      <c r="D122" s="23" t="s">
        <v>288</v>
      </c>
      <c r="E122" s="73">
        <f>+('DOE25'!L286)+('DOE25'!L305)+('DOE25'!L324)</f>
        <v>4551.1499999999996</v>
      </c>
      <c r="F122" s="23" t="s">
        <v>288</v>
      </c>
      <c r="G122" s="23" t="s">
        <v>288</v>
      </c>
      <c r="H122" s="13">
        <f t="shared" si="7"/>
        <v>4551.1499999999996</v>
      </c>
    </row>
    <row r="123" spans="1:8" x14ac:dyDescent="0.2">
      <c r="A123" t="s">
        <v>216</v>
      </c>
      <c r="B123" s="31" t="s">
        <v>217</v>
      </c>
      <c r="C123" s="73">
        <f>('DOE25'!L208)+('DOE25'!L226)+('DOE25'!L244)</f>
        <v>130683.62</v>
      </c>
      <c r="D123" s="23" t="s">
        <v>288</v>
      </c>
      <c r="E123" s="73">
        <f>+('DOE25'!L287)+('DOE25'!L306)+('DOE25'!L325)</f>
        <v>25180.97</v>
      </c>
      <c r="F123" s="23" t="s">
        <v>288</v>
      </c>
      <c r="G123" s="23" t="s">
        <v>288</v>
      </c>
      <c r="H123" s="13">
        <f t="shared" si="7"/>
        <v>155864.59</v>
      </c>
    </row>
    <row r="124" spans="1:8" x14ac:dyDescent="0.2">
      <c r="A124" t="s">
        <v>218</v>
      </c>
      <c r="B124" s="31" t="s">
        <v>219</v>
      </c>
      <c r="C124" s="73">
        <f>('DOE25'!L209)+('DOE25'!L227)+('DOE25'!L245+'DOE25'!L255)</f>
        <v>206429.03999999998</v>
      </c>
      <c r="D124" s="23" t="s">
        <v>288</v>
      </c>
      <c r="E124" s="73">
        <f>+('DOE25'!L288)+('DOE25'!L307)+('DOE25'!L326)</f>
        <v>899.79000000000008</v>
      </c>
      <c r="F124" s="23" t="s">
        <v>288</v>
      </c>
      <c r="G124" s="23" t="s">
        <v>288</v>
      </c>
      <c r="H124" s="13">
        <f t="shared" si="7"/>
        <v>207328.83</v>
      </c>
    </row>
    <row r="125" spans="1:8" x14ac:dyDescent="0.2">
      <c r="A125" t="s">
        <v>220</v>
      </c>
      <c r="B125" s="31" t="s">
        <v>221</v>
      </c>
      <c r="C125" s="73">
        <f>('DOE25'!L210)+('DOE25'!L228)+('DOE25'!L246)</f>
        <v>40356.75</v>
      </c>
      <c r="D125" s="23" t="s">
        <v>288</v>
      </c>
      <c r="E125" s="73">
        <f>+('DOE25'!L289)+('DOE25'!L308)+('DOE25'!L327)</f>
        <v>0</v>
      </c>
      <c r="F125" s="23" t="s">
        <v>288</v>
      </c>
      <c r="G125" s="23" t="s">
        <v>288</v>
      </c>
      <c r="H125" s="13">
        <f t="shared" si="7"/>
        <v>40356.75</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82949.91</v>
      </c>
      <c r="E127" s="23" t="s">
        <v>288</v>
      </c>
      <c r="F127" s="23" t="s">
        <v>288</v>
      </c>
      <c r="G127" s="23" t="s">
        <v>288</v>
      </c>
      <c r="H127" s="13">
        <f t="shared" si="7"/>
        <v>82949.91</v>
      </c>
    </row>
    <row r="128" spans="1:8" ht="12.75" thickTop="1" thickBot="1" x14ac:dyDescent="0.25">
      <c r="A128" s="32" t="s">
        <v>226</v>
      </c>
      <c r="C128" s="68">
        <f>SUM(C118:C127)</f>
        <v>1039727.7799999998</v>
      </c>
      <c r="D128" s="68">
        <f>SUM(D118:D127)</f>
        <v>82949.91</v>
      </c>
      <c r="E128" s="68">
        <f>SUM(E118:E127)</f>
        <v>112349.21999999999</v>
      </c>
      <c r="F128" s="68">
        <f>SUM(F118:F127)</f>
        <v>0</v>
      </c>
      <c r="G128" s="68">
        <f>SUM(G118:G127)</f>
        <v>0</v>
      </c>
      <c r="H128" s="68">
        <f t="shared" si="7"/>
        <v>1235026.9099999997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108460.8</v>
      </c>
      <c r="D138" s="23" t="s">
        <v>288</v>
      </c>
      <c r="E138" s="23" t="s">
        <v>288</v>
      </c>
      <c r="F138" s="23" t="s">
        <v>288</v>
      </c>
      <c r="G138" s="23" t="s">
        <v>288</v>
      </c>
      <c r="H138" s="13">
        <f t="shared" si="7"/>
        <v>108460.8</v>
      </c>
    </row>
    <row r="139" spans="1:8" x14ac:dyDescent="0.2">
      <c r="A139" t="s">
        <v>239</v>
      </c>
      <c r="B139" s="31">
        <v>5252</v>
      </c>
      <c r="C139" s="73">
        <f>'DOE25'!L402</f>
        <v>396.2</v>
      </c>
      <c r="D139" s="23" t="s">
        <v>288</v>
      </c>
      <c r="E139" s="23" t="s">
        <v>288</v>
      </c>
      <c r="F139" s="23" t="s">
        <v>288</v>
      </c>
      <c r="G139" s="23" t="s">
        <v>288</v>
      </c>
      <c r="H139" s="13">
        <f t="shared" si="7"/>
        <v>396.2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-435</v>
      </c>
      <c r="D141" s="23" t="s">
        <v>288</v>
      </c>
      <c r="E141" s="23" t="s">
        <v>288</v>
      </c>
      <c r="F141" s="23" t="s">
        <v>288</v>
      </c>
      <c r="G141" s="23" t="s">
        <v>288</v>
      </c>
      <c r="H141" s="13">
        <f t="shared" si="7"/>
        <v>-435</v>
      </c>
    </row>
    <row r="142" spans="1:8" x14ac:dyDescent="0.2">
      <c r="A142" t="s">
        <v>241</v>
      </c>
      <c r="B142" s="31">
        <v>5310</v>
      </c>
      <c r="C142" s="92">
        <f>'DOE25'!L269</f>
        <v>6628.13</v>
      </c>
      <c r="D142" s="23" t="s">
        <v>288</v>
      </c>
      <c r="E142" s="92">
        <f>'DOE25'!L350</f>
        <v>0</v>
      </c>
      <c r="F142" s="23" t="s">
        <v>288</v>
      </c>
      <c r="G142" s="23" t="s">
        <v>288</v>
      </c>
      <c r="H142" s="13">
        <f t="shared" si="7"/>
        <v>6628.13</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115050.13</v>
      </c>
      <c r="D144" s="98">
        <f>SUM(D130:D143)</f>
        <v>0</v>
      </c>
      <c r="E144" s="98">
        <f>SUM(E130:E143)</f>
        <v>0</v>
      </c>
      <c r="F144" s="98">
        <f>SUM(F130:F143)</f>
        <v>0</v>
      </c>
      <c r="G144" s="98">
        <f>SUM(G130:G143)</f>
        <v>0</v>
      </c>
      <c r="H144" s="98">
        <f t="shared" si="7"/>
        <v>115050.13</v>
      </c>
    </row>
    <row r="145" spans="1:9" ht="12.75" thickTop="1" thickBot="1" x14ac:dyDescent="0.25">
      <c r="A145" s="32" t="s">
        <v>244</v>
      </c>
      <c r="C145" s="68">
        <f>(C115+C128+C144)</f>
        <v>2667879.4399999995</v>
      </c>
      <c r="D145" s="68">
        <f>(D115+D128+D144)</f>
        <v>82949.91</v>
      </c>
      <c r="E145" s="68">
        <f>(E115+E128+E144)</f>
        <v>234512.26</v>
      </c>
      <c r="F145" s="68">
        <f>(F115+F128+F144)</f>
        <v>0</v>
      </c>
      <c r="G145" s="68">
        <f>(G115+G128+G144)</f>
        <v>0</v>
      </c>
      <c r="H145" s="68">
        <f t="shared" si="7"/>
        <v>2985341.6099999994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Stewartstown</v>
      </c>
    </row>
    <row r="3" spans="1:4" x14ac:dyDescent="0.2">
      <c r="B3" s="136" t="s">
        <v>1792</v>
      </c>
    </row>
    <row r="4" spans="1:4" x14ac:dyDescent="0.2">
      <c r="B4" t="s">
        <v>61</v>
      </c>
      <c r="C4" s="128">
        <f>IF('DOE25'!F666+'DOE25'!F671=0,0,ROUND('DOE25'!F673,0))</f>
        <v>35195</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35195</v>
      </c>
    </row>
    <row r="9" spans="1:4" x14ac:dyDescent="0.2">
      <c r="A9" s="135" t="s">
        <v>94</v>
      </c>
      <c r="B9" s="136" t="s">
        <v>1793</v>
      </c>
      <c r="C9" s="130" t="s">
        <v>720</v>
      </c>
      <c r="D9" s="130" t="s">
        <v>721</v>
      </c>
    </row>
    <row r="10" spans="1:4" x14ac:dyDescent="0.2">
      <c r="A10">
        <v>1100</v>
      </c>
      <c r="B10" t="s">
        <v>702</v>
      </c>
      <c r="C10" s="128">
        <f>ROUND('DOE25'!L198+'DOE25'!L216+'DOE25'!L234+'DOE25'!L277+'DOE25'!L296+'DOE25'!L315,0)</f>
        <v>1309147</v>
      </c>
      <c r="D10" s="131">
        <f>ROUND((C10/$C$28)*100,1)</f>
        <v>45.6</v>
      </c>
    </row>
    <row r="11" spans="1:4" x14ac:dyDescent="0.2">
      <c r="A11">
        <v>1200</v>
      </c>
      <c r="B11" t="s">
        <v>703</v>
      </c>
      <c r="C11" s="128">
        <f>ROUND('DOE25'!L199+'DOE25'!L217+'DOE25'!L235+'DOE25'!L278+'DOE25'!L297+'DOE25'!L316,0)</f>
        <v>300018</v>
      </c>
      <c r="D11" s="131">
        <f>ROUND((C11/$C$28)*100,1)</f>
        <v>10.5</v>
      </c>
    </row>
    <row r="12" spans="1:4" x14ac:dyDescent="0.2">
      <c r="A12">
        <v>1300</v>
      </c>
      <c r="B12" t="s">
        <v>704</v>
      </c>
      <c r="C12" s="128">
        <f>ROUND('DOE25'!L200+'DOE25'!L218+'DOE25'!L236+'DOE25'!L279+'DOE25'!L298+'DOE25'!L317,0)</f>
        <v>11000</v>
      </c>
      <c r="D12" s="131">
        <f>ROUND((C12/$C$28)*100,1)</f>
        <v>0.4</v>
      </c>
    </row>
    <row r="13" spans="1:4" x14ac:dyDescent="0.2">
      <c r="A13">
        <v>1400</v>
      </c>
      <c r="B13" t="s">
        <v>705</v>
      </c>
      <c r="C13" s="128">
        <f>ROUND('DOE25'!L201+'DOE25'!L219+'DOE25'!L237+'DOE25'!L280+'DOE25'!L299+'DOE25'!L318,0)</f>
        <v>15100</v>
      </c>
      <c r="D13" s="131">
        <f>ROUND((C13/$C$28)*100,1)</f>
        <v>0.5</v>
      </c>
    </row>
    <row r="14" spans="1:4" x14ac:dyDescent="0.2">
      <c r="D14" s="131"/>
    </row>
    <row r="15" spans="1:4" x14ac:dyDescent="0.2">
      <c r="A15">
        <v>2100</v>
      </c>
      <c r="B15" t="s">
        <v>706</v>
      </c>
      <c r="C15" s="128">
        <f>ROUND('DOE25'!L203+'DOE25'!L221+'DOE25'!L239+'DOE25'!L282+'DOE25'!L301+'DOE25'!L320,0)</f>
        <v>227954</v>
      </c>
      <c r="D15" s="131">
        <f t="shared" ref="D15:D27" si="0">ROUND((C15/$C$28)*100,1)</f>
        <v>7.9</v>
      </c>
    </row>
    <row r="16" spans="1:4" x14ac:dyDescent="0.2">
      <c r="A16">
        <v>2200</v>
      </c>
      <c r="B16" t="s">
        <v>707</v>
      </c>
      <c r="C16" s="128">
        <f>ROUND('DOE25'!L204+'DOE25'!L222+'DOE25'!L240+'DOE25'!L283+'DOE25'!L302+'DOE25'!L321,0)</f>
        <v>113138</v>
      </c>
      <c r="D16" s="131">
        <f t="shared" si="0"/>
        <v>3.9</v>
      </c>
    </row>
    <row r="17" spans="1:4" x14ac:dyDescent="0.2">
      <c r="A17" s="132" t="s">
        <v>723</v>
      </c>
      <c r="B17" t="s">
        <v>738</v>
      </c>
      <c r="C17" s="128">
        <f>ROUND('DOE25'!L205+'DOE25'!L210+'DOE25'!L223+'DOE25'!L228+'DOE25'!L241+'DOE25'!L246+'DOE25'!L284+'DOE25'!L289+'DOE25'!L303+'DOE25'!L308+'DOE25'!L322+'DOE25'!L327,0)</f>
        <v>247357</v>
      </c>
      <c r="D17" s="131">
        <f t="shared" si="0"/>
        <v>8.6</v>
      </c>
    </row>
    <row r="18" spans="1:4" x14ac:dyDescent="0.2">
      <c r="A18">
        <v>2400</v>
      </c>
      <c r="B18" t="s">
        <v>711</v>
      </c>
      <c r="C18" s="128">
        <f>ROUND('DOE25'!L206+'DOE25'!L224+'DOE25'!L242+'DOE25'!L285+'DOE25'!L304+'DOE25'!L323,0)</f>
        <v>195883</v>
      </c>
      <c r="D18" s="131">
        <f t="shared" si="0"/>
        <v>6.8</v>
      </c>
    </row>
    <row r="19" spans="1:4" x14ac:dyDescent="0.2">
      <c r="A19">
        <v>2500</v>
      </c>
      <c r="B19" t="s">
        <v>708</v>
      </c>
      <c r="C19" s="128">
        <f>ROUND('DOE25'!L207+'DOE25'!L225+'DOE25'!L243+'DOE25'!L286+'DOE25'!L305+'DOE25'!L324,0)</f>
        <v>4551</v>
      </c>
      <c r="D19" s="131">
        <f t="shared" si="0"/>
        <v>0.2</v>
      </c>
    </row>
    <row r="20" spans="1:4" x14ac:dyDescent="0.2">
      <c r="A20">
        <v>2600</v>
      </c>
      <c r="B20" t="s">
        <v>709</v>
      </c>
      <c r="C20" s="128">
        <f>ROUND('DOE25'!L208+'DOE25'!L226+'DOE25'!L244+'DOE25'!L287+'DOE25'!L306+'DOE25'!L325,0)</f>
        <v>155865</v>
      </c>
      <c r="D20" s="131">
        <f t="shared" si="0"/>
        <v>5.4</v>
      </c>
    </row>
    <row r="21" spans="1:4" x14ac:dyDescent="0.2">
      <c r="A21">
        <v>2700</v>
      </c>
      <c r="B21" t="s">
        <v>710</v>
      </c>
      <c r="C21" s="128">
        <f>ROUND('DOE25'!L209+'DOE25'!L227+'DOE25'!L245+'DOE25'!L288+'DOE25'!L307+'DOE25'!L326,0)</f>
        <v>207329</v>
      </c>
      <c r="D21" s="131">
        <f t="shared" si="0"/>
        <v>7.2</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6628.13</v>
      </c>
      <c r="D26" s="131">
        <f t="shared" si="0"/>
        <v>0.2</v>
      </c>
    </row>
    <row r="27" spans="1:4" x14ac:dyDescent="0.2">
      <c r="A27">
        <v>3100</v>
      </c>
      <c r="B27" t="s">
        <v>11</v>
      </c>
      <c r="C27" s="128">
        <f>ROUND('DOE25'!L363-'DOE25'!L362,0)-SUM('DOE25'!G97:G110)</f>
        <v>74343.679999999993</v>
      </c>
      <c r="D27" s="131">
        <f t="shared" si="0"/>
        <v>2.6</v>
      </c>
    </row>
    <row r="28" spans="1:4" x14ac:dyDescent="0.2">
      <c r="B28" s="135" t="s">
        <v>719</v>
      </c>
      <c r="C28" s="129">
        <f>SUM(C10:C27)</f>
        <v>2868313.81</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2868313.81</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1907836</v>
      </c>
      <c r="D35" s="131">
        <f t="shared" ref="D35:D40" si="1">ROUND((C35/$C$41)*100,1)</f>
        <v>63.7</v>
      </c>
    </row>
    <row r="36" spans="1:4" x14ac:dyDescent="0.2">
      <c r="B36" s="71" t="s">
        <v>739</v>
      </c>
      <c r="C36" s="128">
        <f>SUM('DOE25'!F112:J112)-SUM('DOE25'!G97:G110)+('DOE25'!F175+'DOE25'!F176+'DOE25'!I175+'DOE25'!I176)-C35</f>
        <v>8738.5</v>
      </c>
      <c r="D36" s="131">
        <f t="shared" si="1"/>
        <v>0.3</v>
      </c>
    </row>
    <row r="37" spans="1:4" x14ac:dyDescent="0.2">
      <c r="A37" s="132" t="s">
        <v>831</v>
      </c>
      <c r="B37" s="71" t="s">
        <v>728</v>
      </c>
      <c r="C37" s="128">
        <f>ROUND('DOE25'!F117+'DOE25'!F118,0)</f>
        <v>787473</v>
      </c>
      <c r="D37" s="131">
        <f t="shared" si="1"/>
        <v>26.3</v>
      </c>
    </row>
    <row r="38" spans="1:4" x14ac:dyDescent="0.2">
      <c r="A38" s="132" t="s">
        <v>734</v>
      </c>
      <c r="B38" s="71" t="s">
        <v>729</v>
      </c>
      <c r="C38" s="128">
        <f>ROUND(SUM('DOE25'!F140:J140)-SUM('DOE25'!F117:F119),0)</f>
        <v>7117</v>
      </c>
      <c r="D38" s="131">
        <f t="shared" si="1"/>
        <v>0.2</v>
      </c>
    </row>
    <row r="39" spans="1:4" x14ac:dyDescent="0.2">
      <c r="A39">
        <v>4000</v>
      </c>
      <c r="B39" s="71" t="s">
        <v>730</v>
      </c>
      <c r="C39" s="128">
        <f>ROUND('DOE25'!F170+'DOE25'!G170+'DOE25'!H170+'DOE25'!I170,0)</f>
        <v>282811</v>
      </c>
      <c r="D39" s="131">
        <f t="shared" si="1"/>
        <v>9.4</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2993975.5</v>
      </c>
      <c r="D41" s="133">
        <f>SUM(D35:D40)</f>
        <v>99.9</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Stewartstown</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286</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f>IF('School Level Expenditures'!$B$2=A289,'School Tables'!H289,"")</f>
        <v>286</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2024-09-27T20:46:52Z</cp:lastPrinted>
  <dcterms:created xsi:type="dcterms:W3CDTF">1997-12-04T19:04:30Z</dcterms:created>
  <dcterms:modified xsi:type="dcterms:W3CDTF">2025-01-06T12:30:40Z</dcterms:modified>
</cp:coreProperties>
</file>