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5BAFA990-90C2-4496-A11B-2AC8D058BFBE}"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08" i="1" l="1"/>
  <c r="F24" i="1"/>
  <c r="F15" i="13" l="1"/>
  <c r="F6" i="13"/>
  <c r="E6" i="14" l="1"/>
  <c r="G532" i="1"/>
  <c r="F532" i="1"/>
  <c r="G158" i="1" l="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7" i="14"/>
  <c r="F8" i="14"/>
  <c r="F9" i="14"/>
  <c r="F10" i="14"/>
  <c r="F11" i="14"/>
  <c r="F12" i="14"/>
  <c r="F13" i="14"/>
  <c r="F14" i="14"/>
  <c r="F15" i="14"/>
  <c r="F16" i="14"/>
  <c r="F17" i="14"/>
  <c r="F18" i="14"/>
  <c r="F19" i="14"/>
  <c r="F20" i="14"/>
  <c r="F26" i="14"/>
  <c r="F5" i="14"/>
  <c r="F38" i="14" l="1"/>
  <c r="F25"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F61" i="15" s="1"/>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AF59" i="15" s="1"/>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15" i="15" l="1"/>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J111" i="1"/>
  <c r="F121" i="1"/>
  <c r="F136" i="1"/>
  <c r="G121" i="1"/>
  <c r="G136" i="1"/>
  <c r="H121" i="1"/>
  <c r="H136" i="1"/>
  <c r="H140" i="1" s="1"/>
  <c r="I121" i="1"/>
  <c r="I136" i="1"/>
  <c r="J121" i="1"/>
  <c r="J136" i="1"/>
  <c r="J140" i="1" s="1"/>
  <c r="F147" i="1"/>
  <c r="F170" i="1" s="1"/>
  <c r="G147" i="1"/>
  <c r="D85" i="2" s="1"/>
  <c r="H147" i="1"/>
  <c r="H170" i="1" s="1"/>
  <c r="I147" i="1"/>
  <c r="F85" i="2" s="1"/>
  <c r="L251" i="1"/>
  <c r="C113" i="2" s="1"/>
  <c r="H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G641" i="1"/>
  <c r="G644" i="1"/>
  <c r="G645" i="1"/>
  <c r="G646" i="1"/>
  <c r="G651" i="1"/>
  <c r="H653" i="1"/>
  <c r="G654" i="1"/>
  <c r="H654" i="1"/>
  <c r="H655" i="1"/>
  <c r="H656" i="1"/>
  <c r="G663" i="1" l="1"/>
  <c r="H72" i="2"/>
  <c r="G409" i="1"/>
  <c r="H646" i="1" s="1"/>
  <c r="I170" i="1"/>
  <c r="E120" i="2"/>
  <c r="I409" i="1"/>
  <c r="H94" i="2"/>
  <c r="H48" i="2"/>
  <c r="H101" i="2"/>
  <c r="H9" i="2"/>
  <c r="H38" i="2"/>
  <c r="H17" i="2"/>
  <c r="J652" i="1"/>
  <c r="E124" i="2"/>
  <c r="E111" i="2"/>
  <c r="H98" i="2"/>
  <c r="H44" i="2"/>
  <c r="H12" i="2"/>
  <c r="J112" i="1"/>
  <c r="H47" i="2"/>
  <c r="H8" i="2"/>
  <c r="G662" i="1"/>
  <c r="D29" i="13"/>
  <c r="C29" i="13" s="1"/>
  <c r="H132" i="2"/>
  <c r="D15" i="13"/>
  <c r="C15" i="13" s="1"/>
  <c r="C125" i="2"/>
  <c r="H125" i="2" s="1"/>
  <c r="E13" i="13"/>
  <c r="C13" i="13" s="1"/>
  <c r="C13" i="10"/>
  <c r="K36" i="14"/>
  <c r="K37" i="14" s="1"/>
  <c r="C12" i="10"/>
  <c r="C120" i="2"/>
  <c r="H120" i="2" s="1"/>
  <c r="C112" i="2"/>
  <c r="H112" i="2" s="1"/>
  <c r="K2" i="14"/>
  <c r="K3" i="14" s="1"/>
  <c r="C119" i="2"/>
  <c r="G62" i="2"/>
  <c r="H102" i="2"/>
  <c r="H93" i="2"/>
  <c r="H73" i="2"/>
  <c r="I112" i="1"/>
  <c r="H100" i="2"/>
  <c r="H96" i="2"/>
  <c r="H87" i="2"/>
  <c r="H80" i="2"/>
  <c r="H76" i="2"/>
  <c r="H58" i="2"/>
  <c r="H99" i="2"/>
  <c r="H97" i="2"/>
  <c r="H89" i="2"/>
  <c r="H79" i="2"/>
  <c r="H77" i="2"/>
  <c r="H69" i="2"/>
  <c r="H61" i="2"/>
  <c r="H59" i="2"/>
  <c r="C85" i="2"/>
  <c r="H30" i="2"/>
  <c r="H28" i="2"/>
  <c r="H26" i="2"/>
  <c r="H25" i="2"/>
  <c r="H13" i="2"/>
  <c r="H43" i="2"/>
  <c r="H36" i="2"/>
  <c r="H35" i="2"/>
  <c r="H34" i="2"/>
  <c r="H29" i="2"/>
  <c r="H27" i="2"/>
  <c r="H24" i="2"/>
  <c r="H23" i="2"/>
  <c r="H22" i="2"/>
  <c r="H15" i="2"/>
  <c r="H11"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28" i="16"/>
  <c r="L329" i="1"/>
  <c r="E122" i="2"/>
  <c r="L291" i="1"/>
  <c r="L615" i="1"/>
  <c r="K599" i="1"/>
  <c r="G648" i="1" s="1"/>
  <c r="K572" i="1"/>
  <c r="L571" i="1"/>
  <c r="H572" i="1"/>
  <c r="L566" i="1"/>
  <c r="I572" i="1"/>
  <c r="K546" i="1"/>
  <c r="H52" i="1"/>
  <c r="H620" i="1" s="1"/>
  <c r="J620" i="1" s="1"/>
  <c r="C114" i="2"/>
  <c r="G112" i="1"/>
  <c r="B10" i="16" s="1"/>
  <c r="E118" i="2"/>
  <c r="L248" i="1"/>
  <c r="L212" i="1"/>
  <c r="D6" i="14" s="1"/>
  <c r="H648" i="1"/>
  <c r="J645" i="1"/>
  <c r="G626" i="1"/>
  <c r="L530" i="1"/>
  <c r="H546" i="1"/>
  <c r="G164" i="2"/>
  <c r="G161" i="2"/>
  <c r="G157" i="2"/>
  <c r="G156" i="2"/>
  <c r="G81" i="2"/>
  <c r="C78" i="2"/>
  <c r="F78" i="2"/>
  <c r="F81" i="2" s="1"/>
  <c r="C70" i="2"/>
  <c r="H70" i="2" s="1"/>
  <c r="D62" i="2"/>
  <c r="D63" i="2" s="1"/>
  <c r="E57" i="2"/>
  <c r="E62" i="2" s="1"/>
  <c r="E63" i="2" s="1"/>
  <c r="C26" i="10"/>
  <c r="C18" i="10"/>
  <c r="J641" i="1"/>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D21" i="14" l="1"/>
  <c r="F6" i="14"/>
  <c r="F4" i="14" s="1"/>
  <c r="B17" i="16"/>
  <c r="B19" i="16" s="1"/>
  <c r="G473" i="1"/>
  <c r="G637" i="1"/>
  <c r="I473" i="1"/>
  <c r="L572" i="1"/>
  <c r="H21" i="2"/>
  <c r="H114" i="2"/>
  <c r="H16" i="2"/>
  <c r="H42" i="2"/>
  <c r="G144" i="2"/>
  <c r="G145" i="2" s="1"/>
  <c r="H134" i="2"/>
  <c r="D128" i="2"/>
  <c r="D145" i="2" s="1"/>
  <c r="H127" i="2"/>
  <c r="E144" i="2"/>
  <c r="H122" i="2"/>
  <c r="H119" i="2"/>
  <c r="H85" i="2"/>
  <c r="H78" i="2"/>
  <c r="H57" i="2"/>
  <c r="H103" i="2"/>
  <c r="H91" i="2"/>
  <c r="H62" i="2"/>
  <c r="I662" i="1"/>
  <c r="C81" i="2"/>
  <c r="H81" i="2" s="1"/>
  <c r="F194" i="1"/>
  <c r="E51" i="2"/>
  <c r="H50" i="2"/>
  <c r="D51" i="2"/>
  <c r="H31" i="2"/>
  <c r="H18" i="2"/>
  <c r="G25" i="14"/>
  <c r="H25" i="14" s="1"/>
  <c r="I25" i="14" s="1"/>
  <c r="H110" i="2"/>
  <c r="H121" i="2"/>
  <c r="E128" i="2"/>
  <c r="H118" i="2"/>
  <c r="F661" i="1"/>
  <c r="F665" i="1" s="1"/>
  <c r="F670" i="1" s="1"/>
  <c r="E115" i="2"/>
  <c r="H109" i="2"/>
  <c r="F144" i="2"/>
  <c r="H130" i="2"/>
  <c r="H661" i="1"/>
  <c r="H665" i="1" s="1"/>
  <c r="H194" i="1"/>
  <c r="H649" i="1"/>
  <c r="J649" i="1" s="1"/>
  <c r="C141" i="2"/>
  <c r="F51" i="2"/>
  <c r="G38" i="14"/>
  <c r="H38" i="14" s="1"/>
  <c r="I38" i="14" s="1"/>
  <c r="E104" i="2"/>
  <c r="C36" i="10"/>
  <c r="L435" i="1"/>
  <c r="G104" i="2"/>
  <c r="L339" i="1"/>
  <c r="L353" i="1" s="1"/>
  <c r="I194" i="1"/>
  <c r="G636" i="1"/>
  <c r="G51" i="2"/>
  <c r="D104" i="2"/>
  <c r="L409" i="1"/>
  <c r="J469" i="1" s="1"/>
  <c r="C27" i="10"/>
  <c r="C28" i="10" s="1"/>
  <c r="D23" i="10" s="1"/>
  <c r="G4" i="14"/>
  <c r="L546" i="1"/>
  <c r="F104" i="2"/>
  <c r="B14" i="16"/>
  <c r="B22" i="16" s="1"/>
  <c r="E33" i="13"/>
  <c r="D35" i="13" s="1"/>
  <c r="J648" i="1"/>
  <c r="L258" i="1"/>
  <c r="L272" i="1" s="1"/>
  <c r="C115" i="2"/>
  <c r="C63" i="2"/>
  <c r="C39" i="10"/>
  <c r="G33" i="13"/>
  <c r="C128" i="2"/>
  <c r="D31" i="13"/>
  <c r="C31" i="13" s="1"/>
  <c r="I462" i="1"/>
  <c r="H643" i="1" s="1"/>
  <c r="J643" i="1" s="1"/>
  <c r="G661" i="1"/>
  <c r="G665" i="1" s="1"/>
  <c r="C25" i="13"/>
  <c r="I33" i="13"/>
  <c r="K553" i="1"/>
  <c r="C51" i="2"/>
  <c r="G632" i="1"/>
  <c r="G194" i="1"/>
  <c r="G627" i="1"/>
  <c r="J52" i="1"/>
  <c r="H622" i="1" s="1"/>
  <c r="J622" i="1" s="1"/>
  <c r="C38" i="10"/>
  <c r="H4" i="14" l="1"/>
  <c r="I4" i="14" s="1"/>
  <c r="H632" i="1"/>
  <c r="J471" i="1"/>
  <c r="H638" i="1"/>
  <c r="J632" i="1"/>
  <c r="I475" i="1"/>
  <c r="H637" i="1"/>
  <c r="J637" i="1" s="1"/>
  <c r="G634" i="1"/>
  <c r="H473" i="1"/>
  <c r="G631" i="1"/>
  <c r="I469" i="1"/>
  <c r="H636" i="1"/>
  <c r="J636" i="1" s="1"/>
  <c r="G475" i="1"/>
  <c r="G639" i="1"/>
  <c r="J473" i="1"/>
  <c r="G628" i="1"/>
  <c r="F469" i="1"/>
  <c r="G630" i="1"/>
  <c r="H469" i="1"/>
  <c r="G629" i="1"/>
  <c r="G469" i="1"/>
  <c r="G633" i="1"/>
  <c r="F473" i="1"/>
  <c r="C144" i="2"/>
  <c r="H144" i="2" s="1"/>
  <c r="H141" i="2"/>
  <c r="C104" i="2"/>
  <c r="H104" i="2" s="1"/>
  <c r="H63"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1" i="1" l="1"/>
  <c r="I471" i="1"/>
  <c r="I477" i="1" s="1"/>
  <c r="H626" i="1" s="1"/>
  <c r="J626" i="1" s="1"/>
  <c r="J631" i="1"/>
  <c r="F471" i="1"/>
  <c r="H628" i="1"/>
  <c r="J628" i="1" s="1"/>
  <c r="J477" i="1"/>
  <c r="H627" i="1" s="1"/>
  <c r="J627" i="1" s="1"/>
  <c r="H475" i="1"/>
  <c r="H634" i="1"/>
  <c r="J475" i="1"/>
  <c r="H639" i="1"/>
  <c r="J639" i="1" s="1"/>
  <c r="J634" i="1"/>
  <c r="H630" i="1"/>
  <c r="J630" i="1" s="1"/>
  <c r="H471" i="1"/>
  <c r="H477" i="1" s="1"/>
  <c r="H625" i="1" s="1"/>
  <c r="J625" i="1" s="1"/>
  <c r="H629" i="1"/>
  <c r="G471" i="1"/>
  <c r="G477" i="1" s="1"/>
  <c r="J629" i="1"/>
  <c r="F475" i="1"/>
  <c r="H633" i="1"/>
  <c r="J633" i="1" s="1"/>
  <c r="C145" i="2"/>
  <c r="H145" i="2" s="1"/>
  <c r="I670" i="1"/>
  <c r="I673" i="1" s="1"/>
  <c r="C7" i="10" s="1"/>
  <c r="F673" i="1"/>
  <c r="C4" i="10" s="1"/>
  <c r="I668" i="1"/>
  <c r="D28" i="10"/>
  <c r="D37" i="10"/>
  <c r="D36" i="10"/>
  <c r="D35" i="10"/>
  <c r="D40" i="10"/>
  <c r="D39" i="10"/>
  <c r="F477" i="1" l="1"/>
  <c r="H623" i="1" s="1"/>
  <c r="J623" i="1" s="1"/>
  <c r="H624" i="1"/>
  <c r="J624" i="1" s="1"/>
  <c r="B33" i="16"/>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<sst xmlns="http://schemas.openxmlformats.org/spreadsheetml/2006/main" count="6641" uniqueCount="1843">
  <si>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</si>
  <si>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</si>
  <si>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</si>
  <si>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</si>
  <si>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</si>
  <si>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</si>
  <si>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</si>
  <si>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</si>
  <si>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</si>
  <si>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</si>
  <si>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</si>
  <si>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</si>
  <si>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</si>
  <si>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</si>
  <si>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</si>
  <si>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</si>
  <si>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</si>
  <si>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</si>
  <si>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</si>
  <si>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</si>
  <si>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</si>
  <si>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</si>
  <si>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</si>
  <si>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</si>
  <si>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</si>
  <si>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</si>
  <si>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</si>
  <si>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</si>
  <si>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</si>
  <si>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</si>
  <si>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</si>
  <si>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</si>
  <si>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</si>
  <si>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</si>
  <si>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</si>
  <si>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</si>
  <si>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</si>
  <si>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</si>
  <si>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</si>
  <si>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</si>
  <si>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</si>
  <si>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</si>
  <si>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</si>
  <si>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</si>
  <si>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</si>
  <si>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</si>
  <si>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</si>
  <si>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</si>
  <si>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</si>
  <si>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</si>
  <si>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</si>
  <si>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</si>
  <si>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</si>
  <si>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</si>
  <si>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</si>
  <si>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</si>
  <si>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</si>
  <si>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</si>
  <si>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</si>
  <si>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</si>
  <si>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</si>
  <si>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</si>
  <si>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</si>
  <si>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</si>
  <si>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</si>
  <si>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</si>
  <si>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</si>
  <si>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</si>
  <si>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</si>
  <si>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</si>
  <si>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</si>
  <si>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</si>
  <si>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</si>
  <si>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</si>
  <si>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</si>
  <si>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</si>
  <si>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</si>
  <si>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</si>
  <si>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</si>
  <si>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</si>
  <si>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</si>
  <si>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</si>
  <si>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</si>
  <si>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</si>
  <si>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</si>
  <si>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</si>
  <si>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</si>
  <si>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</si>
  <si>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</si>
  <si>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</si>
  <si>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</si>
  <si>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</si>
  <si>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</si>
  <si>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</si>
  <si>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</si>
  <si>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</si>
  <si>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</si>
  <si>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</si>
  <si>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</si>
  <si>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</si>
  <si>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</si>
  <si>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</si>
  <si>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</si>
  <si>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</si>
  <si>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</si>
  <si>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</si>
  <si>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</si>
  <si>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</si>
  <si>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</si>
  <si>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</si>
  <si>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</si>
  <si>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</si>
  <si>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</si>
  <si>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</si>
  <si>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</si>
  <si>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</si>
  <si>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</si>
  <si>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</si>
  <si>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</si>
  <si>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</si>
  <si>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</si>
  <si>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</si>
  <si>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</si>
  <si>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</si>
  <si>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</si>
  <si>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</si>
  <si>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</si>
  <si>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</si>
  <si>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</si>
  <si>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</si>
  <si>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</si>
  <si>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</si>
  <si>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</si>
  <si>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</si>
  <si>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</si>
  <si>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</si>
  <si>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</si>
  <si>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</si>
  <si>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</si>
  <si>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</si>
  <si>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</si>
  <si>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</si>
  <si>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</si>
  <si>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</si>
  <si>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</si>
  <si>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</si>
  <si>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</si>
  <si>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</si>
  <si>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</si>
  <si>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</si>
  <si>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</si>
  <si>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</si>
  <si>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</si>
  <si>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</si>
  <si>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</si>
  <si>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</si>
  <si>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</si>
  <si>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</si>
  <si>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</si>
  <si>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</si>
  <si>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</si>
  <si>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</si>
  <si>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</si>
  <si>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</si>
  <si>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</si>
  <si>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</si>
  <si>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</si>
  <si>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</si>
  <si>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</si>
  <si>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</si>
  <si>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</si>
  <si>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</si>
  <si>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</si>
  <si>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</si>
  <si>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</si>
  <si>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</si>
  <si>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</si>
  <si>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</si>
  <si>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</si>
  <si>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</si>
  <si>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</si>
  <si>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</si>
  <si>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</si>
  <si>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</si>
  <si>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</si>
  <si>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</si>
  <si>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</si>
  <si>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</si>
  <si>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</si>
  <si>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</si>
  <si>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</si>
  <si>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</si>
  <si>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</si>
  <si>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</si>
  <si>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</si>
  <si>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</si>
  <si>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</si>
  <si>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</si>
  <si>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</si>
  <si>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</si>
  <si>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</si>
  <si>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</si>
  <si>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</si>
  <si>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</si>
  <si>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</si>
  <si>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</si>
  <si>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</si>
  <si>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</si>
  <si>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</si>
  <si>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</si>
  <si>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</si>
  <si>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</si>
  <si>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</si>
  <si>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</si>
  <si>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</si>
  <si>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</si>
  <si>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</si>
  <si>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</si>
  <si>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</si>
  <si>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</si>
  <si>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</si>
  <si>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</si>
  <si>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</si>
  <si>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</si>
  <si>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</si>
  <si>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</si>
  <si>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</si>
  <si>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</si>
  <si>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</si>
  <si>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</si>
  <si>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</si>
  <si>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</si>
  <si>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</si>
  <si>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</si>
  <si>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</si>
  <si>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</si>
  <si>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</si>
  <si>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</si>
  <si>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</si>
  <si>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</si>
  <si>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</si>
  <si>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</si>
  <si>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</si>
  <si>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</si>
  <si>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</si>
  <si>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</si>
  <si>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</si>
  <si>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</si>
  <si>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</si>
  <si>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</si>
  <si>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</si>
  <si>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</si>
  <si>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</si>
  <si>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</si>
  <si>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</si>
  <si>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</si>
  <si>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</si>
  <si>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</si>
  <si>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</si>
  <si>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</si>
  <si>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</si>
  <si>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</si>
  <si>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</si>
  <si>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</si>
  <si>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</si>
  <si>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</si>
  <si>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</si>
  <si>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</si>
  <si>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</si>
  <si>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</si>
  <si>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</si>
  <si>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</si>
  <si>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</si>
  <si>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</si>
  <si>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</si>
  <si>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</si>
  <si>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</si>
  <si>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</si>
  <si>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</si>
  <si>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</si>
  <si>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</si>
  <si>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</si>
  <si>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</si>
  <si>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</si>
  <si>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</si>
  <si>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</si>
  <si>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</si>
  <si>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</si>
  <si>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</si>
  <si>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</si>
  <si>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</si>
  <si>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</si>
  <si>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</si>
  <si>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</si>
  <si>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</si>
  <si>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</si>
  <si>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</si>
  <si>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</si>
  <si>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</si>
  <si>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</si>
  <si>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</si>
  <si>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</si>
  <si>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</si>
  <si>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</si>
  <si>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</si>
  <si>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</si>
  <si>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</si>
  <si>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</si>
  <si>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</si>
  <si>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</si>
  <si>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</si>
  <si>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</si>
  <si>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</si>
  <si>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</si>
  <si>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</si>
  <si>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</si>
  <si>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</si>
  <si>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</si>
  <si>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</si>
  <si>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</si>
  <si>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</si>
  <si>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</si>
  <si>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</si>
  <si>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</si>
  <si>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</si>
  <si>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</si>
  <si>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</si>
  <si>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</si>
  <si>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</si>
  <si>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</si>
  <si>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</si>
  <si>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</si>
  <si>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</si>
  <si>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</si>
  <si>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</si>
  <si>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</si>
  <si>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</si>
  <si>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</si>
  <si>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</si>
  <si>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</si>
  <si>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</si>
  <si>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</si>
  <si>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</si>
  <si>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</si>
  <si>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</si>
  <si>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</si>
  <si>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</si>
  <si>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</si>
  <si>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</si>
  <si>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</si>
  <si>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</si>
  <si>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</si>
  <si>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</si>
  <si>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</si>
  <si>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</si>
  <si>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</si>
  <si>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</si>
  <si>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</si>
  <si>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</si>
  <si>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</si>
  <si>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</si>
  <si>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</si>
  <si>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</si>
  <si>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</si>
  <si>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</si>
  <si>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</si>
  <si>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</si>
  <si>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</si>
  <si>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</si>
  <si>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</si>
  <si>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</si>
  <si>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</si>
  <si>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</si>
  <si>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</si>
  <si>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</si>
  <si>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</si>
  <si>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</si>
  <si>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</si>
  <si>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</si>
  <si>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</si>
  <si>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</si>
  <si>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</si>
  <si>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</si>
  <si>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</si>
  <si>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</si>
  <si>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</si>
  <si>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</si>
  <si>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</si>
  <si>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</si>
  <si>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</si>
  <si>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</si>
  <si>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</si>
  <si>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</si>
  <si>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</si>
  <si>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</si>
  <si>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</si>
  <si>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</si>
  <si>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</si>
  <si>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</si>
  <si>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</si>
  <si>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</si>
  <si>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</si>
  <si>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</si>
  <si>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</si>
  <si>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</si>
  <si>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</si>
  <si>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</si>
  <si>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</si>
  <si>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</si>
  <si>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</si>
  <si>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</si>
  <si>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</si>
  <si>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</si>
  <si>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</si>
  <si>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</si>
  <si>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</si>
  <si>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</si>
  <si>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</si>
  <si>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</si>
  <si>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</si>
  <si>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</si>
  <si>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</si>
  <si>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</si>
  <si>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</si>
  <si>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</si>
  <si>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</si>
  <si>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</si>
  <si>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</si>
  <si>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</si>
  <si>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</si>
  <si>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</si>
  <si>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</si>
  <si>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</si>
  <si>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</si>
  <si>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</si>
  <si>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</si>
  <si>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</si>
  <si>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</si>
  <si>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</si>
  <si>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</si>
  <si>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</si>
  <si>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</si>
  <si>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</si>
  <si>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</si>
  <si>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</si>
  <si>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</si>
  <si>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</si>
  <si>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</si>
  <si>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</si>
  <si>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</si>
  <si>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</si>
  <si>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</si>
  <si>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</si>
  <si>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</si>
  <si>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</si>
  <si>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</si>
  <si>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</si>
  <si>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</si>
  <si>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</si>
  <si>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</si>
  <si>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</si>
  <si>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</si>
  <si>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</si>
  <si>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</si>
  <si>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</si>
  <si>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</si>
  <si>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</si>
  <si>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</si>
  <si>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</si>
  <si>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</si>
  <si>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</si>
  <si>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</si>
  <si>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</si>
  <si>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</si>
  <si>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</si>
  <si>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</si>
  <si>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</si>
  <si>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</si>
  <si>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</si>
  <si>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</si>
  <si>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</si>
  <si>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</si>
  <si>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</si>
  <si>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</si>
  <si>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</si>
  <si>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</si>
  <si>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</si>
  <si>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</si>
  <si>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</si>
  <si>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</si>
  <si>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</si>
  <si>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</si>
  <si>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</si>
  <si>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</si>
  <si>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</si>
  <si>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</si>
  <si>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</si>
  <si>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</si>
  <si>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</si>
  <si>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</si>
  <si>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</si>
  <si>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</si>
  <si>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</si>
  <si>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</si>
  <si>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</si>
  <si>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</si>
  <si>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</si>
  <si>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</si>
  <si>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</si>
  <si>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</si>
  <si>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</si>
  <si>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</si>
  <si>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</si>
  <si>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</si>
  <si>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</si>
  <si>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</si>
  <si>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</si>
  <si>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</si>
  <si>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</si>
  <si>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</si>
  <si>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</si>
  <si>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</si>
  <si>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</si>
  <si>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</si>
  <si>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</si>
  <si>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</si>
  <si>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</si>
  <si>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</si>
  <si>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</si>
  <si>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</si>
  <si>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</si>
  <si>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</si>
  <si>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</si>
  <si>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</si>
  <si>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</si>
  <si>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</si>
  <si>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</si>
  <si>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</si>
  <si>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</si>
  <si>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</si>
  <si>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</si>
  <si>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</si>
  <si>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</si>
  <si>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</si>
  <si>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</si>
  <si>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</si>
  <si>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</si>
  <si>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</si>
  <si>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</si>
  <si>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</si>
  <si>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</si>
  <si>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</si>
  <si>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</si>
  <si>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</si>
  <si>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</si>
  <si>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</si>
  <si>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</si>
  <si>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</si>
  <si>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</si>
  <si>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</si>
  <si>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</si>
  <si>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</si>
  <si>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</si>
  <si>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</si>
  <si>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</si>
  <si>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</si>
  <si>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</si>
  <si>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</si>
  <si>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</si>
  <si>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</si>
  <si>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</si>
  <si>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</si>
  <si>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</si>
  <si>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</si>
  <si>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</si>
  <si>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</si>
  <si>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</si>
  <si>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</si>
  <si>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</si>
  <si>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</si>
  <si>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</si>
  <si>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</si>
  <si>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</si>
  <si>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</si>
  <si>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</si>
  <si>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</si>
  <si>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</si>
  <si>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</si>
  <si>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</si>
  <si>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</si>
  <si>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</si>
  <si>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</si>
  <si>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</si>
  <si>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</si>
  <si>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</si>
  <si>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</si>
  <si>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</si>
  <si>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</si>
  <si>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</si>
  <si>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</si>
  <si>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</si>
  <si>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</si>
  <si>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</si>
  <si>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</si>
  <si>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</si>
  <si>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</si>
  <si>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</si>
  <si>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</si>
  <si>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</si>
  <si>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</si>
  <si>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</si>
  <si>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</si>
  <si>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</si>
  <si>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</si>
  <si>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</si>
  <si>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</si>
  <si>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</si>
  <si>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</si>
  <si>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</si>
  <si>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</si>
  <si>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</si>
  <si>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</si>
  <si>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</si>
  <si>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</si>
  <si>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</si>
  <si>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</si>
  <si>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</si>
  <si>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</si>
  <si>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</si>
  <si>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</si>
  <si>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</si>
  <si>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</si>
  <si>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</si>
  <si>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</si>
  <si>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</si>
  <si>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</si>
  <si>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</si>
  <si>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</si>
  <si>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</si>
  <si>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</si>
  <si>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</si>
  <si>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</si>
  <si>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</si>
  <si>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</si>
  <si>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</si>
  <si>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</si>
  <si>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</si>
  <si>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</si>
  <si>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</si>
  <si>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</si>
  <si>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</si>
  <si>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</si>
  <si>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</si>
  <si>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</si>
  <si>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</si>
  <si>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</si>
  <si>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</si>
  <si>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</si>
  <si>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</si>
  <si>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</si>
  <si>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</si>
  <si>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</si>
  <si>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</si>
  <si>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</si>
  <si>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</si>
  <si>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</si>
  <si>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</si>
  <si>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</si>
  <si>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</si>
  <si>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</si>
  <si>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</si>
  <si>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</si>
  <si>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</si>
  <si>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</si>
  <si>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</si>
  <si>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</si>
  <si>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</si>
  <si>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</si>
  <si>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</si>
  <si>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</si>
  <si>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</si>
  <si>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</si>
  <si>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</si>
  <si>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</si>
  <si>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</si>
  <si>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</si>
  <si>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</si>
  <si>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</si>
  <si>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</si>
  <si>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</si>
  <si>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</si>
  <si>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</si>
  <si>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</si>
  <si>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</si>
  <si>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</si>
  <si>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</si>
  <si>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</si>
  <si>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</si>
  <si>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</si>
  <si>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</si>
  <si>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</si>
  <si>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</si>
  <si>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</si>
  <si>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</si>
  <si>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</si>
  <si>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</si>
  <si>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</si>
  <si>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</si>
  <si>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</si>
  <si>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</si>
  <si>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</si>
  <si>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</si>
  <si>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</si>
  <si>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</si>
  <si>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</si>
  <si>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</si>
  <si>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</si>
  <si>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</si>
  <si>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</si>
  <si>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</si>
  <si>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</si>
  <si>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</si>
  <si>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</si>
  <si>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</si>
  <si>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</si>
  <si>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</si>
  <si>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</si>
  <si>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</si>
  <si>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</si>
  <si>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</si>
  <si>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</si>
  <si>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</si>
  <si>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</si>
  <si>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</si>
  <si>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</si>
  <si>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</si>
  <si>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</si>
  <si>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</si>
  <si>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</si>
  <si>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</si>
  <si>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</si>
  <si>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</si>
  <si>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</si>
  <si>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</si>
  <si>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</si>
  <si>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</si>
  <si>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</si>
  <si>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</si>
  <si>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</si>
  <si>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</si>
  <si>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</si>
  <si>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</si>
  <si>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</si>
  <si>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</si>
  <si>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</si>
  <si>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</si>
  <si>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</si>
  <si>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</si>
  <si>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</si>
  <si>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</si>
  <si>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</si>
  <si>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</si>
  <si>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</si>
  <si>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</si>
  <si>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</si>
  <si>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</si>
  <si>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</si>
  <si>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</si>
  <si>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</si>
  <si>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</si>
  <si>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</si>
  <si>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</si>
  <si>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</si>
  <si>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</si>
  <si>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</si>
  <si>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</si>
  <si>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</si>
  <si>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</si>
  <si>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</si>
  <si>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</si>
  <si>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</si>
  <si>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</si>
  <si>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</si>
  <si>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</si>
  <si>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</si>
  <si>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</si>
  <si>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</si>
  <si>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</si>
  <si>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</si>
  <si>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</si>
  <si>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</si>
  <si>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</si>
  <si>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</si>
  <si>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</si>
  <si>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</si>
  <si>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</si>
  <si>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</si>
  <si>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</si>
  <si>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</si>
  <si>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</si>
  <si>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</si>
  <si>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</si>
  <si>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</si>
  <si>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</si>
  <si>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</si>
  <si>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</si>
  <si>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</si>
  <si>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</si>
  <si>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</si>
  <si>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</si>
  <si>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</si>
  <si>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</si>
  <si>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</si>
  <si>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</si>
  <si>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</si>
  <si>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</si>
  <si>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</si>
  <si>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</si>
  <si>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</si>
  <si>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</si>
  <si>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</si>
  <si>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</si>
  <si>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</si>
  <si>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</si>
  <si>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</si>
  <si>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</si>
  <si>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</si>
  <si>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</si>
  <si>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</si>
  <si>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</si>
  <si>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</si>
  <si>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</si>
  <si>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</si>
  <si>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</si>
  <si>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</si>
  <si>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</si>
  <si>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</si>
  <si>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</si>
  <si>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</si>
  <si>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</si>
  <si>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</si>
  <si>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</si>
  <si>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</si>
  <si>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</si>
  <si>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</si>
  <si>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</si>
  <si>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</si>
  <si>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</si>
  <si>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</si>
  <si>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</si>
  <si>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</si>
  <si>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</si>
  <si>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</si>
  <si>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</si>
  <si>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</si>
  <si>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</si>
  <si>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</si>
  <si>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</si>
  <si>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</si>
  <si>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</si>
  <si>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</si>
  <si>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</si>
  <si>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</si>
  <si>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</si>
  <si>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</si>
  <si>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</si>
  <si>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</si>
  <si>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</si>
  <si>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</si>
  <si>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</si>
  <si>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</si>
  <si>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</si>
  <si>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</si>
  <si>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</si>
  <si>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</si>
  <si>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</si>
  <si>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</si>
  <si>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</si>
  <si>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</si>
  <si>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</si>
  <si>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</si>
  <si>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</si>
  <si>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</si>
  <si>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</si>
  <si>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</si>
  <si>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</si>
  <si>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</si>
  <si>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</si>
  <si>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</si>
  <si>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</si>
  <si>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</si>
  <si>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</si>
  <si>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</si>
  <si>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</si>
  <si>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</si>
  <si>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</si>
  <si>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</si>
  <si>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</si>
  <si>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</si>
  <si>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</si>
  <si>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</si>
  <si>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</si>
  <si>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</si>
  <si>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</si>
  <si>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</si>
  <si>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</si>
  <si>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</si>
  <si>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</si>
  <si>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</si>
  <si>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</si>
  <si>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</si>
  <si>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</si>
  <si>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</si>
  <si>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</si>
  <si>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</si>
  <si>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</si>
  <si>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</si>
  <si>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</si>
  <si>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</si>
  <si>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</si>
  <si>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</si>
  <si>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</si>
  <si>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</si>
  <si>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</si>
  <si>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</si>
  <si>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</si>
  <si>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</si>
  <si>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</si>
  <si>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</si>
  <si>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</si>
  <si>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</si>
  <si>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</si>
  <si>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</si>
  <si>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</si>
  <si>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</si>
  <si>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</si>
  <si>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</si>
  <si>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</si>
  <si>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</si>
  <si>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</si>
  <si>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</si>
  <si>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</si>
  <si>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</si>
  <si>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</si>
  <si>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</si>
  <si>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</si>
  <si>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</si>
  <si>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</si>
  <si>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</si>
  <si>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</si>
  <si>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</si>
  <si>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</si>
  <si>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</si>
  <si>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</si>
  <si>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</si>
  <si>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</si>
  <si>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</si>
  <si>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</si>
  <si>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</si>
  <si>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</si>
  <si>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</si>
  <si>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</si>
  <si>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</si>
  <si>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</si>
  <si>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</si>
  <si>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</si>
  <si>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</si>
  <si>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</si>
  <si>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</si>
  <si>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</si>
  <si>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</si>
  <si>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</si>
  <si>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</si>
  <si>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</si>
  <si>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</si>
  <si>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</si>
  <si>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</si>
  <si>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</si>
  <si>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</si>
  <si>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</si>
  <si>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</si>
  <si>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</si>
  <si>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</si>
  <si>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</si>
  <si>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</si>
  <si>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</si>
  <si>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</si>
  <si>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</si>
  <si>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</si>
  <si>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</si>
  <si>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</si>
  <si>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</si>
  <si>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</si>
  <si>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</si>
  <si>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</si>
  <si>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</si>
  <si>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</si>
  <si>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</si>
  <si>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</si>
  <si>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</si>
  <si>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</si>
  <si>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</si>
  <si>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</si>
  <si>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</si>
  <si>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</si>
  <si>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</si>
  <si>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</si>
  <si>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</si>
  <si>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</si>
  <si>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</si>
  <si>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</si>
  <si>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</si>
  <si>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</si>
  <si>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</si>
  <si>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</si>
  <si>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</si>
  <si>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</si>
  <si>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</si>
  <si>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</si>
  <si>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</si>
  <si>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</si>
  <si>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</si>
  <si>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</si>
  <si>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</si>
  <si>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</si>
  <si>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</si>
  <si>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</si>
  <si>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</si>
  <si>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</si>
  <si>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</si>
  <si>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</si>
  <si>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</si>
  <si>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</si>
  <si>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</si>
  <si>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</si>
  <si>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</si>
  <si>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</si>
  <si>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</si>
  <si>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</si>
  <si>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</si>
  <si>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</si>
  <si>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</si>
  <si>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</si>
  <si>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</si>
  <si>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</si>
  <si>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</si>
  <si>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</si>
  <si>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</si>
  <si>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</si>
  <si>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</si>
  <si>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</si>
  <si>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</si>
  <si>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</si>
  <si>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</si>
  <si>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</si>
  <si>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</si>
  <si>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</si>
  <si>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</si>
  <si>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</si>
  <si>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</si>
  <si>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</si>
  <si>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</si>
  <si>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</si>
  <si>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</si>
  <si>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</si>
  <si>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</si>
  <si>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</si>
  <si>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</si>
  <si>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</si>
  <si>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</si>
  <si>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</si>
  <si>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</si>
  <si>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</si>
  <si>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</si>
  <si>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</si>
  <si>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</si>
  <si>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</si>
  <si>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</si>
  <si>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</si>
  <si>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</si>
  <si>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</si>
  <si>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</si>
  <si>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</si>
  <si>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</si>
  <si>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</si>
  <si>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</si>
  <si>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</si>
  <si>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</si>
  <si>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</si>
  <si>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</si>
  <si>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</si>
  <si>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</si>
  <si>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</si>
  <si>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</si>
  <si>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</si>
  <si>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</si>
  <si>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</si>
  <si>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</si>
  <si>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</si>
  <si>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</si>
  <si>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</si>
  <si>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</si>
  <si>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</si>
  <si>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</si>
  <si>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</si>
  <si>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</si>
  <si>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</si>
  <si>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</si>
  <si>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</si>
  <si>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</si>
  <si>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</si>
  <si>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</si>
  <si>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</si>
  <si>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</si>
  <si>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</si>
  <si>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</si>
  <si>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</si>
  <si>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</si>
  <si>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</si>
  <si>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</si>
  <si>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</si>
  <si>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</si>
  <si>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</si>
  <si>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</si>
  <si>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</si>
  <si>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</si>
  <si>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</si>
  <si>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</si>
  <si>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</si>
  <si>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</si>
  <si>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</si>
  <si>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</si>
  <si>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</si>
  <si>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</si>
  <si>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</si>
  <si>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</si>
  <si>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</si>
  <si>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</si>
  <si>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</si>
  <si>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</si>
  <si>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</si>
  <si>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</si>
  <si>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</si>
  <si>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</si>
  <si>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</si>
  <si>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</si>
  <si>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</si>
  <si>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</si>
  <si>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</si>
  <si>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</si>
  <si>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</si>
  <si>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</si>
  <si>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</si>
  <si>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</si>
  <si>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</si>
  <si>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</si>
  <si>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</si>
  <si>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</si>
  <si>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</si>
  <si>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</si>
  <si>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</si>
  <si>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</si>
  <si>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</si>
  <si>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</si>
  <si>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</si>
  <si>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</si>
  <si>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</si>
  <si>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</si>
  <si>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</si>
  <si>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</si>
  <si>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</si>
  <si>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</si>
  <si>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</si>
  <si>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</si>
  <si>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</si>
  <si>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</si>
  <si>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</si>
  <si>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</si>
  <si>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</si>
  <si>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</si>
  <si>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</si>
  <si>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</si>
  <si>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</si>
  <si>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</si>
  <si>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</si>
  <si>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</si>
  <si>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</si>
  <si>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</si>
  <si>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</si>
  <si>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</si>
  <si>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</si>
  <si>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</si>
  <si>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</si>
  <si>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</si>
  <si>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</si>
  <si>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</si>
  <si>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</si>
  <si>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</si>
  <si>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</si>
  <si>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</si>
  <si>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</si>
  <si>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</si>
  <si>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</si>
  <si>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</si>
  <si>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</si>
  <si>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</si>
  <si>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</si>
  <si>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</si>
  <si>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</si>
  <si>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</si>
  <si>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</si>
  <si>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</si>
  <si>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</si>
  <si>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</si>
  <si>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</si>
  <si>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</si>
  <si>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</si>
  <si>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</si>
  <si>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</si>
  <si>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</si>
  <si>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</si>
  <si>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</si>
  <si>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</si>
  <si>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</si>
  <si>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</si>
  <si>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</si>
  <si>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</si>
  <si>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</si>
  <si>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</si>
  <si>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</si>
  <si>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</si>
  <si>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</si>
  <si>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</si>
  <si>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</si>
  <si>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</si>
  <si>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</si>
  <si>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</si>
  <si>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</si>
  <si>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</si>
  <si>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</si>
  <si>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</si>
  <si>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</si>
  <si>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</si>
  <si>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</si>
  <si>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</si>
  <si>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</si>
  <si>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</si>
  <si>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</si>
  <si>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</si>
  <si>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</si>
  <si>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</si>
  <si>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</si>
  <si>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</si>
  <si>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</si>
  <si>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</si>
  <si>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</si>
  <si>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</si>
  <si>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</si>
  <si>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</si>
  <si>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</si>
  <si>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</si>
  <si>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</si>
  <si>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</si>
  <si>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</si>
  <si>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</si>
  <si>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</si>
  <si>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</si>
  <si>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</si>
  <si>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</si>
  <si>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</si>
  <si>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</si>
  <si>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</si>
  <si>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</si>
  <si>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</si>
  <si>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</si>
  <si>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</si>
  <si>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</si>
  <si>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</si>
  <si>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</si>
  <si>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</si>
  <si>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</si>
  <si>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</si>
  <si>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</si>
  <si>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</si>
  <si>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</si>
  <si>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</si>
  <si>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</si>
  <si>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</si>
  <si>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</si>
  <si>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</si>
  <si>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</si>
  <si>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</si>
  <si>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</si>
  <si>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</si>
  <si>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</si>
  <si>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</si>
  <si>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</si>
  <si>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</si>
  <si>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</si>
  <si>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</si>
  <si>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</si>
  <si>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</si>
  <si>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</si>
  <si>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</si>
  <si>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</si>
  <si>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</si>
  <si>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</si>
  <si>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</si>
  <si>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</si>
  <si>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</si>
  <si>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</si>
  <si>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</si>
  <si>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</si>
  <si>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</si>
  <si>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</si>
  <si>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</si>
  <si>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</si>
  <si>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</si>
  <si>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</si>
  <si>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</si>
  <si>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</si>
  <si>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</si>
  <si>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</si>
  <si>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</si>
  <si>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</si>
  <si>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</si>
  <si>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</si>
  <si>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</si>
  <si>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</si>
  <si>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</si>
  <si>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</si>
  <si>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</si>
  <si>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</si>
  <si>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</si>
  <si>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</si>
  <si>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</si>
  <si>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</si>
  <si>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</si>
  <si>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</si>
  <si>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</si>
  <si>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</si>
  <si>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</si>
  <si>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</si>
  <si>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</si>
  <si>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</si>
  <si>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</si>
  <si>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</si>
  <si>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</si>
  <si>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</si>
  <si>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</si>
  <si>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</si>
  <si>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</si>
  <si>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</si>
  <si>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</si>
  <si>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</si>
  <si>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</si>
  <si>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</si>
  <si>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</si>
  <si>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</si>
  <si>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</si>
  <si>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</si>
  <si>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</si>
  <si>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</si>
  <si>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</si>
  <si>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</si>
  <si>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</si>
  <si>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</si>
  <si>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</si>
  <si>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</si>
  <si>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</si>
  <si>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</si>
  <si>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</si>
  <si>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</si>
  <si>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</si>
  <si>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</si>
  <si>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</si>
  <si>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</si>
  <si>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</si>
  <si>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</si>
  <si>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</si>
  <si>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</si>
  <si>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</si>
  <si>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</si>
  <si>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</si>
  <si>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</si>
  <si>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</si>
  <si>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</si>
  <si>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</si>
  <si>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</si>
  <si>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</si>
  <si>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</si>
  <si>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</si>
  <si>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</si>
  <si>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</si>
  <si>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</si>
  <si>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</si>
  <si>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</si>
  <si>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</si>
  <si>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</si>
  <si>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</si>
  <si>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</si>
  <si>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</si>
  <si>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</si>
  <si>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</si>
  <si>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</si>
  <si>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</si>
  <si>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</si>
  <si>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</si>
  <si>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</si>
  <si>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</si>
  <si>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</si>
  <si>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</si>
  <si>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</si>
  <si>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</si>
  <si>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</si>
  <si>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</si>
  <si>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</si>
  <si>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</si>
  <si>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</si>
  <si>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</si>
  <si>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</si>
  <si>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</si>
  <si>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</si>
  <si>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</si>
  <si>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</si>
  <si>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</si>
  <si>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</si>
  <si>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</si>
  <si>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</si>
  <si>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</si>
  <si>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</si>
  <si>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</si>
  <si>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</si>
  <si>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</si>
  <si>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</si>
  <si>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</si>
  <si>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</si>
  <si>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</si>
  <si>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</si>
  <si>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</si>
  <si>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</si>
  <si>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</si>
  <si>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</si>
  <si>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</si>
  <si>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</si>
  <si>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</si>
  <si>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</si>
  <si>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</si>
  <si>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</si>
  <si>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</si>
  <si>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</si>
  <si>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</si>
  <si>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</si>
  <si>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</si>
  <si>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</si>
  <si>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</si>
  <si>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</si>
  <si>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</si>
  <si>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</si>
  <si>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</si>
  <si>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</si>
  <si>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</si>
  <si>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</si>
  <si>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</si>
  <si>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</si>
  <si>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</si>
  <si>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</si>
  <si>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</si>
  <si>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</si>
  <si>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</si>
  <si>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</si>
  <si>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</si>
  <si>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</si>
  <si>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</si>
  <si>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</si>
  <si>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</si>
  <si>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</si>
  <si>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</si>
  <si>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</si>
  <si>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</si>
  <si>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</si>
  <si>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</si>
  <si>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</si>
  <si>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</si>
  <si>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</si>
  <si>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</si>
  <si>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</si>
  <si>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</si>
  <si>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</si>
  <si>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</si>
  <si>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</si>
  <si>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</si>
  <si>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</si>
  <si>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</si>
  <si>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</si>
  <si>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</si>
  <si>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</si>
  <si>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</si>
  <si>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</si>
  <si>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</si>
  <si>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</si>
  <si>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</si>
  <si>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</si>
  <si>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</si>
  <si>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</si>
  <si>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</si>
  <si>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</si>
  <si>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</si>
  <si>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</si>
  <si>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</si>
  <si>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</si>
  <si>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</si>
  <si>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</si>
  <si>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</si>
  <si>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</si>
  <si>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</si>
  <si>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</si>
  <si>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</si>
  <si>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</si>
  <si>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</si>
  <si>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</si>
  <si>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</si>
  <si>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</si>
  <si>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</si>
  <si>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</si>
  <si>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</si>
  <si>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</si>
  <si>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</si>
  <si>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</si>
  <si>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</si>
  <si>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</si>
  <si>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</si>
  <si>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</si>
  <si>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</si>
  <si>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</si>
  <si>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</si>
  <si>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</si>
  <si>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</si>
  <si>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</si>
  <si>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</si>
  <si>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</si>
  <si>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</si>
  <si>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</si>
  <si>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</si>
  <si>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</si>
  <si>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</si>
  <si>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</si>
  <si>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</si>
  <si>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</si>
  <si>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</si>
  <si>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</si>
  <si>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</si>
  <si>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</si>
  <si>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</si>
  <si>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</si>
  <si>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</si>
  <si>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</si>
  <si>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</si>
  <si>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</si>
  <si>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</si>
  <si>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</si>
  <si>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</si>
  <si>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</si>
  <si>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</si>
  <si>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</si>
  <si>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</si>
  <si>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</si>
  <si>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</si>
  <si>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</si>
  <si>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</si>
  <si>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</si>
  <si>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</si>
  <si>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</si>
  <si>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</si>
  <si>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</si>
  <si>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</si>
  <si>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</si>
  <si>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</si>
  <si>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</si>
  <si>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</si>
  <si>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</si>
  <si>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</si>
  <si>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</si>
  <si>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</si>
  <si>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</si>
  <si>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</si>
  <si>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</si>
  <si>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</si>
  <si>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</si>
  <si>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</si>
  <si>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</si>
  <si>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</si>
  <si>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</si>
  <si>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</si>
  <si>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</si>
  <si>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</si>
  <si>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</si>
  <si>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</si>
  <si>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</si>
  <si>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</si>
  <si>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</si>
  <si>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</si>
  <si>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</si>
  <si>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</si>
  <si>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</si>
  <si>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</si>
  <si>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</si>
  <si>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</si>
  <si>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</si>
  <si>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</si>
  <si>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</si>
  <si>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</si>
  <si>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</si>
  <si>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</si>
  <si>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</si>
  <si>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</si>
  <si>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</si>
  <si>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</si>
  <si>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</si>
  <si>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</si>
  <si>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</si>
  <si>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</si>
  <si>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</si>
  <si>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</si>
  <si>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</si>
  <si>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</si>
  <si>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</si>
  <si>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</si>
  <si>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</si>
  <si>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</si>
  <si>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</si>
  <si>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</si>
  <si>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</si>
  <si>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</si>
  <si>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</si>
  <si>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</si>
  <si>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</si>
  <si>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</si>
  <si>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</si>
  <si>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</si>
  <si>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</si>
  <si>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</si>
  <si>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</si>
  <si>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</si>
  <si>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</si>
  <si>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</si>
  <si>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</si>
  <si>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</si>
  <si>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</si>
  <si>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</si>
  <si>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</si>
  <si>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</si>
  <si>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</si>
  <si>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</si>
  <si>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</si>
  <si>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</si>
  <si>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</si>
  <si>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</si>
  <si>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</si>
  <si>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</si>
  <si>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</si>
  <si>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</si>
  <si>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</si>
  <si>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</si>
  <si>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</si>
  <si>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</si>
  <si>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</si>
  <si>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</si>
  <si>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</si>
  <si>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</si>
  <si>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</si>
  <si>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</si>
  <si>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</si>
  <si>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</si>
  <si>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</si>
  <si>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</si>
  <si>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</si>
  <si>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</si>
  <si>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</si>
  <si>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</si>
  <si>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</si>
  <si>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</si>
  <si>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</si>
  <si>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</si>
  <si>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</si>
  <si>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</si>
  <si>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</si>
  <si>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</si>
  <si>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</si>
  <si>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</si>
  <si>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</si>
  <si>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</si>
  <si>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</si>
  <si>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</si>
  <si>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</si>
  <si>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</si>
  <si>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</si>
  <si>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</si>
  <si>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</si>
  <si>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</si>
  <si>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</si>
  <si>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</si>
  <si>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</si>
  <si>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</si>
  <si>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</si>
  <si>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</si>
  <si>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</si>
  <si>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</si>
  <si>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</si>
  <si>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</si>
  <si>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</si>
  <si>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</si>
  <si>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</si>
  <si>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</si>
  <si>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</si>
  <si>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</si>
  <si>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</si>
  <si>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</si>
  <si>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</si>
  <si>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</si>
  <si>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</si>
  <si>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</si>
  <si>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</si>
  <si>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</si>
  <si>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</si>
  <si>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</si>
  <si>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</si>
  <si>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</si>
  <si>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</si>
  <si>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</si>
  <si>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</si>
  <si>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</si>
  <si>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</si>
  <si>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</si>
  <si>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</si>
  <si>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</si>
  <si>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</si>
  <si>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</si>
  <si>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</si>
  <si>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</si>
  <si>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</si>
  <si>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</si>
  <si>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</si>
  <si>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</si>
  <si>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</si>
  <si>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</si>
  <si>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</si>
  <si>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</si>
  <si>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</si>
  <si>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</si>
  <si>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</si>
  <si>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</si>
  <si>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</si>
  <si>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</si>
  <si>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</si>
  <si>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</si>
  <si>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</si>
  <si>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</si>
  <si>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</si>
  <si>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</si>
  <si>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</si>
  <si>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</si>
  <si>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</si>
  <si>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</si>
  <si>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</si>
  <si>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</si>
  <si>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</si>
  <si>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</si>
  <si>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</si>
  <si>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</si>
  <si>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</si>
  <si>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</si>
  <si>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</si>
  <si>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</si>
  <si>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</si>
  <si>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</si>
  <si>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</si>
  <si>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</si>
  <si>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</si>
  <si>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</si>
  <si>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</si>
  <si>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</si>
  <si>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</si>
  <si>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</si>
  <si>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</si>
  <si>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</si>
  <si>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</si>
  <si>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</si>
  <si>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</si>
  <si>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</si>
  <si>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</si>
  <si>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</si>
  <si>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</si>
  <si>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</si>
  <si>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</si>
  <si>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</si>
  <si>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</si>
  <si>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</si>
  <si>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</si>
  <si>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</si>
  <si>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</si>
  <si>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</si>
  <si>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</si>
  <si>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</si>
  <si>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</si>
  <si>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</si>
  <si>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</si>
  <si>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</si>
  <si>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</si>
  <si>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</si>
  <si>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</si>
  <si>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</si>
  <si>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</si>
  <si>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</si>
  <si>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</si>
  <si>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</si>
  <si>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</si>
  <si>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</si>
  <si>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</si>
  <si>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</si>
  <si>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</si>
  <si>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</si>
  <si>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</si>
  <si>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</si>
  <si>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</si>
  <si>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</si>
  <si>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</si>
  <si>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</si>
  <si>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</si>
  <si>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</si>
  <si>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</si>
  <si>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</si>
  <si>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</si>
  <si>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</si>
  <si>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</si>
  <si>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</si>
  <si>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</si>
  <si>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</si>
  <si>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</si>
  <si>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</si>
  <si>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</si>
  <si>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 xml:space="preserve">This should be final. Slighty more changes made than anticpated as I discovered an error. Changed impacted balance sheet and </t>
  </si>
  <si>
    <t xml:space="preserve">elementary expenses.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</si>
</sst>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7">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9" borderId="0" applyNumberFormat="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31" applyNumberFormat="0" applyAlignment="0" applyProtection="0"/>
    <xf numFmtId="0" fontId="56" fillId="13" borderId="32" applyNumberFormat="0" applyAlignment="0" applyProtection="0"/>
    <xf numFmtId="0" fontId="57" fillId="13" borderId="31" applyNumberFormat="0" applyAlignment="0" applyProtection="0"/>
    <xf numFmtId="0" fontId="58" fillId="0" borderId="33" applyNumberFormat="0" applyFill="0" applyAlignment="0" applyProtection="0"/>
    <xf numFmtId="0" fontId="59" fillId="14"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3" fillId="19" borderId="0" applyNumberFormat="0" applyBorder="0" applyAlignment="0" applyProtection="0"/>
    <xf numFmtId="0" fontId="63"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3" fillId="39" borderId="0" applyNumberFormat="0" applyBorder="0" applyAlignment="0" applyProtection="0"/>
    <xf numFmtId="0" fontId="6" fillId="0" borderId="0"/>
    <xf numFmtId="0" fontId="64" fillId="0" borderId="0" applyNumberFormat="0" applyFill="0" applyBorder="0" applyAlignment="0" applyProtection="0"/>
    <xf numFmtId="0" fontId="6" fillId="15" borderId="35" applyNumberFormat="0" applyFont="0" applyAlignment="0" applyProtection="0"/>
    <xf numFmtId="0" fontId="5" fillId="0" borderId="0"/>
    <xf numFmtId="0" fontId="81" fillId="0" borderId="0"/>
    <xf numFmtId="0" fontId="1" fillId="0" borderId="0"/>
    <xf numFmtId="43" fontId="1" fillId="0" borderId="0" applyFont="0" applyFill="0" applyBorder="0" applyAlignment="0" applyProtection="0"/>
  </cellStyleXfs>
  <cellXfs count="346">
    <xf numFmtId="0" fontId="0" fillId="0" borderId="0" xfId="0"/>
    <xf numFmtId="164" fontId="7" fillId="0" borderId="0" xfId="0" applyNumberFormat="1" applyFont="1" applyAlignment="1">
      <alignment horizontal="left"/>
    </xf>
    <xf numFmtId="165" fontId="7" fillId="0" borderId="0" xfId="0" applyNumberFormat="1" applyFont="1" applyAlignment="1">
      <alignment horizontal="left"/>
    </xf>
    <xf numFmtId="0" fontId="7" fillId="0" borderId="0" xfId="0" applyFont="1"/>
    <xf numFmtId="0" fontId="7" fillId="0" borderId="0" xfId="0" applyFont="1" applyProtection="1">
      <protection locked="0"/>
    </xf>
    <xf numFmtId="164"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lignment horizontal="left"/>
    </xf>
    <xf numFmtId="40" fontId="7" fillId="0" borderId="0" xfId="0" quotePrefix="1" applyNumberFormat="1" applyFont="1" applyAlignment="1">
      <alignment horizontal="center"/>
    </xf>
    <xf numFmtId="40" fontId="7" fillId="0" borderId="0" xfId="0" applyNumberFormat="1" applyFont="1" applyAlignment="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0" fillId="0" borderId="0" xfId="0" applyNumberFormat="1"/>
    <xf numFmtId="0" fontId="0" fillId="0" borderId="0" xfId="0" applyProtection="1">
      <protection locked="0"/>
    </xf>
    <xf numFmtId="40" fontId="9" fillId="0" borderId="0" xfId="0" applyNumberFormat="1" applyFont="1"/>
    <xf numFmtId="0" fontId="7" fillId="0" borderId="0" xfId="0" applyFont="1" applyAlignment="1">
      <alignment horizontal="center"/>
    </xf>
    <xf numFmtId="40" fontId="7" fillId="2" borderId="0" xfId="0" applyNumberFormat="1" applyFont="1" applyFill="1" applyAlignment="1">
      <alignment horizontal="left"/>
    </xf>
    <xf numFmtId="40" fontId="11" fillId="0" borderId="0" xfId="0" applyNumberFormat="1" applyFont="1" applyAlignment="1">
      <alignment horizontal="center"/>
    </xf>
    <xf numFmtId="40" fontId="11" fillId="0" borderId="0" xfId="0" applyNumberFormat="1" applyFont="1" applyAlignment="1">
      <alignment horizontal="left"/>
    </xf>
    <xf numFmtId="0" fontId="12" fillId="0" borderId="0" xfId="0" applyFont="1"/>
    <xf numFmtId="0" fontId="13" fillId="0" borderId="0" xfId="0" applyFont="1"/>
    <xf numFmtId="164" fontId="11" fillId="0" borderId="0" xfId="0" applyNumberFormat="1" applyFont="1" applyAlignment="1">
      <alignment horizontal="left"/>
    </xf>
    <xf numFmtId="164" fontId="12" fillId="0" borderId="0" xfId="0" applyNumberFormat="1" applyFont="1" applyAlignment="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4" fontId="11" fillId="0" borderId="3" xfId="0" applyNumberFormat="1" applyFont="1" applyBorder="1" applyAlignment="1">
      <alignment horizontal="left"/>
    </xf>
    <xf numFmtId="165" fontId="7" fillId="0" borderId="3" xfId="0" applyNumberFormat="1" applyFont="1" applyBorder="1" applyAlignment="1">
      <alignment horizontal="left"/>
    </xf>
    <xf numFmtId="165" fontId="7" fillId="0" borderId="3" xfId="0" applyNumberFormat="1" applyFont="1" applyBorder="1" applyAlignment="1">
      <alignment horizontal="center"/>
    </xf>
    <xf numFmtId="40" fontId="7" fillId="0" borderId="3" xfId="0" applyNumberFormat="1" applyFont="1" applyBorder="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lignment horizontal="left"/>
    </xf>
    <xf numFmtId="0" fontId="11" fillId="0" borderId="3" xfId="0" applyFont="1" applyBorder="1"/>
    <xf numFmtId="165" fontId="7" fillId="0" borderId="4" xfId="0" applyNumberFormat="1" applyFont="1" applyBorder="1" applyAlignment="1">
      <alignment horizontal="left"/>
    </xf>
    <xf numFmtId="40" fontId="7" fillId="2" borderId="4" xfId="0" applyNumberFormat="1" applyFont="1" applyFill="1" applyBorder="1" applyAlignment="1">
      <alignment horizontal="left"/>
    </xf>
    <xf numFmtId="164" fontId="11" fillId="0" borderId="4" xfId="0" applyNumberFormat="1" applyFont="1" applyBorder="1" applyAlignment="1">
      <alignment horizontal="left"/>
    </xf>
    <xf numFmtId="165" fontId="7" fillId="0" borderId="4" xfId="0" applyNumberFormat="1" applyFont="1" applyBorder="1" applyAlignment="1">
      <alignment horizontal="center"/>
    </xf>
    <xf numFmtId="49" fontId="7" fillId="0" borderId="0" xfId="0" applyNumberFormat="1" applyFont="1" applyAlignment="1">
      <alignment horizontal="center"/>
    </xf>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lignment horizontal="left"/>
    </xf>
    <xf numFmtId="40" fontId="8" fillId="0" borderId="6"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Protection="1">
      <protection locked="0"/>
    </xf>
    <xf numFmtId="165" fontId="7" fillId="0" borderId="6" xfId="0" applyNumberFormat="1" applyFont="1" applyBorder="1" applyAlignment="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lignment horizontal="left"/>
    </xf>
    <xf numFmtId="165" fontId="11" fillId="0" borderId="0" xfId="0" applyNumberFormat="1" applyFont="1" applyAlignment="1">
      <alignment horizontal="left"/>
    </xf>
    <xf numFmtId="49" fontId="11" fillId="0" borderId="0" xfId="0" applyNumberFormat="1" applyFont="1" applyAlignment="1">
      <alignment horizontal="left"/>
    </xf>
    <xf numFmtId="49" fontId="7" fillId="0" borderId="0" xfId="0" applyNumberFormat="1" applyFont="1" applyAlignment="1">
      <alignment horizontal="left"/>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Alignment="1">
      <alignment horizontal="right"/>
    </xf>
    <xf numFmtId="40" fontId="9" fillId="0" borderId="3" xfId="0" applyNumberFormat="1" applyFont="1" applyBorder="1" applyAlignment="1">
      <alignment horizontal="right"/>
    </xf>
    <xf numFmtId="0" fontId="16" fillId="0" borderId="0" xfId="0" applyFont="1"/>
    <xf numFmtId="0" fontId="18" fillId="0" borderId="0" xfId="0" applyFont="1"/>
    <xf numFmtId="40" fontId="8" fillId="0" borderId="0" xfId="0" applyNumberFormat="1" applyFont="1"/>
    <xf numFmtId="40" fontId="19" fillId="0" borderId="0" xfId="0" applyNumberFormat="1" applyFont="1"/>
    <xf numFmtId="40" fontId="19" fillId="0" borderId="3" xfId="0" applyNumberFormat="1" applyFont="1" applyBorder="1"/>
    <xf numFmtId="40" fontId="19" fillId="0" borderId="0" xfId="0" applyNumberFormat="1" applyFont="1" applyAlignment="1">
      <alignment horizontal="center"/>
    </xf>
    <xf numFmtId="40" fontId="9" fillId="0" borderId="0" xfId="0" applyNumberFormat="1" applyFont="1" applyAlignment="1">
      <alignment horizontal="center"/>
    </xf>
    <xf numFmtId="0" fontId="9" fillId="0" borderId="0" xfId="0" applyFont="1" applyAlignment="1">
      <alignment horizontal="center" vertical="justify"/>
    </xf>
    <xf numFmtId="40" fontId="9" fillId="0" borderId="0" xfId="0" applyNumberFormat="1" applyFont="1" applyAlignment="1">
      <alignment horizontal="center" vertical="justify"/>
    </xf>
    <xf numFmtId="40" fontId="9" fillId="0" borderId="0" xfId="0" applyNumberFormat="1" applyFont="1" applyAlignment="1">
      <alignment horizontal="right" vertical="justify"/>
    </xf>
    <xf numFmtId="40" fontId="9" fillId="0" borderId="3" xfId="0" applyNumberFormat="1" applyFont="1" applyBorder="1" applyAlignment="1">
      <alignment horizontal="right" vertical="justify"/>
    </xf>
    <xf numFmtId="49" fontId="7" fillId="0" borderId="0" xfId="0" applyNumberFormat="1" applyFont="1" applyAlignment="1" applyProtection="1">
      <alignment horizontal="left"/>
      <protection locked="0"/>
    </xf>
    <xf numFmtId="40" fontId="19" fillId="0" borderId="0" xfId="0" applyNumberFormat="1" applyFont="1" applyAlignment="1">
      <alignment horizontal="center" vertical="justify"/>
    </xf>
    <xf numFmtId="40" fontId="15" fillId="0" borderId="0" xfId="0" applyNumberFormat="1" applyFont="1" applyAlignment="1">
      <alignment horizontal="center"/>
    </xf>
    <xf numFmtId="0" fontId="7" fillId="0" borderId="0" xfId="0" quotePrefix="1" applyFont="1" applyAlignment="1">
      <alignment horizontal="left"/>
    </xf>
    <xf numFmtId="14" fontId="7" fillId="0" borderId="0" xfId="0" quotePrefix="1" applyNumberFormat="1" applyFont="1" applyAlignment="1">
      <alignment horizontal="left"/>
    </xf>
    <xf numFmtId="40" fontId="9" fillId="0" borderId="0" xfId="0" quotePrefix="1" applyNumberFormat="1" applyFont="1" applyAlignment="1">
      <alignment horizontal="left" vertical="justify"/>
    </xf>
    <xf numFmtId="40" fontId="19" fillId="0" borderId="0" xfId="0" applyNumberFormat="1" applyFont="1" applyAlignment="1">
      <alignment horizontal="centerContinuous" vertical="justify"/>
    </xf>
    <xf numFmtId="40" fontId="19" fillId="0" borderId="0" xfId="0" applyNumberFormat="1" applyFont="1" applyAlignment="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40" fontId="20" fillId="0" borderId="0" xfId="0" applyNumberFormat="1" applyFont="1"/>
    <xf numFmtId="40" fontId="9" fillId="0" borderId="4" xfId="0" applyNumberFormat="1" applyFont="1" applyBorder="1"/>
    <xf numFmtId="40" fontId="21" fillId="0" borderId="4" xfId="0" applyNumberFormat="1" applyFont="1" applyBorder="1"/>
    <xf numFmtId="0" fontId="7" fillId="0" borderId="0" xfId="0" applyFont="1" applyAlignment="1">
      <alignment horizontal="left"/>
    </xf>
    <xf numFmtId="2" fontId="0" fillId="0" borderId="0" xfId="0" applyNumberFormat="1"/>
    <xf numFmtId="40" fontId="9" fillId="0" borderId="3" xfId="0" applyNumberFormat="1" applyFont="1" applyBorder="1"/>
    <xf numFmtId="40" fontId="0" fillId="0" borderId="7" xfId="0" applyNumberFormat="1" applyBorder="1"/>
    <xf numFmtId="14" fontId="7" fillId="0" borderId="0" xfId="0" applyNumberFormat="1" applyFont="1" applyAlignment="1">
      <alignment horizontal="left"/>
    </xf>
    <xf numFmtId="40" fontId="9" fillId="0" borderId="0" xfId="0" applyNumberFormat="1" applyFont="1" applyAlignment="1">
      <alignment horizontal="left" vertical="justify"/>
    </xf>
    <xf numFmtId="40" fontId="0" fillId="0" borderId="0" xfId="0" applyNumberFormat="1" applyProtection="1">
      <protection locked="0"/>
    </xf>
    <xf numFmtId="0" fontId="8" fillId="0" borderId="0" xfId="0" applyFont="1" applyProtection="1">
      <protection locked="0"/>
    </xf>
    <xf numFmtId="40" fontId="9" fillId="0" borderId="0" xfId="0" applyNumberFormat="1" applyFont="1" applyAlignment="1">
      <alignment horizontal="left"/>
    </xf>
    <xf numFmtId="40" fontId="19" fillId="0" borderId="0" xfId="0" quotePrefix="1" applyNumberFormat="1" applyFont="1" applyAlignment="1">
      <alignment horizontal="left"/>
    </xf>
    <xf numFmtId="0" fontId="9" fillId="0" borderId="3" xfId="0" applyFont="1" applyBorder="1" applyAlignment="1">
      <alignment horizontal="center" vertical="justify"/>
    </xf>
    <xf numFmtId="40" fontId="9" fillId="0" borderId="3" xfId="0" applyNumberFormat="1" applyFont="1" applyBorder="1" applyAlignment="1">
      <alignment horizontal="center" vertical="justify"/>
    </xf>
    <xf numFmtId="40" fontId="22" fillId="0" borderId="0" xfId="0" quotePrefix="1" applyNumberFormat="1" applyFont="1" applyAlignment="1">
      <alignment horizontal="center" vertical="justify"/>
    </xf>
    <xf numFmtId="40" fontId="22"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lignment horizontal="left"/>
    </xf>
    <xf numFmtId="49" fontId="25" fillId="0" borderId="0" xfId="0" applyNumberFormat="1" applyFont="1" applyAlignment="1">
      <alignment horizontal="left"/>
    </xf>
    <xf numFmtId="40" fontId="22" fillId="0" borderId="0" xfId="0" applyNumberFormat="1" applyFont="1"/>
    <xf numFmtId="0" fontId="26" fillId="0" borderId="0" xfId="0" applyFont="1" applyAlignment="1">
      <alignment horizontal="center"/>
    </xf>
    <xf numFmtId="14" fontId="26" fillId="0" borderId="0" xfId="0" quotePrefix="1" applyNumberFormat="1" applyFont="1" applyAlignment="1">
      <alignment horizontal="left"/>
    </xf>
    <xf numFmtId="40" fontId="22" fillId="0" borderId="0" xfId="0" quotePrefix="1" applyNumberFormat="1" applyFont="1" applyAlignment="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lignment horizontal="left"/>
    </xf>
    <xf numFmtId="40" fontId="24" fillId="0" borderId="3" xfId="0" applyNumberFormat="1" applyFont="1" applyBorder="1"/>
    <xf numFmtId="40" fontId="19" fillId="0" borderId="0" xfId="0" quotePrefix="1" applyNumberFormat="1" applyFont="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Alignment="1">
      <alignment horizontal="left"/>
    </xf>
    <xf numFmtId="40" fontId="9" fillId="0" borderId="0" xfId="0" quotePrefix="1" applyNumberFormat="1" applyFont="1" applyAlignment="1">
      <alignment horizontal="left"/>
    </xf>
    <xf numFmtId="0" fontId="7" fillId="0" borderId="4" xfId="0" applyFont="1" applyBorder="1" applyAlignment="1">
      <alignment horizontal="left"/>
    </xf>
    <xf numFmtId="40" fontId="9" fillId="0" borderId="4" xfId="0" applyNumberFormat="1" applyFont="1" applyBorder="1" applyAlignment="1">
      <alignment horizontal="right"/>
    </xf>
    <xf numFmtId="164" fontId="26" fillId="0" borderId="0" xfId="0" applyNumberFormat="1" applyFont="1" applyAlignment="1">
      <alignment horizontal="left"/>
    </xf>
    <xf numFmtId="40" fontId="26" fillId="0" borderId="0" xfId="0" applyNumberFormat="1" applyFont="1"/>
    <xf numFmtId="40" fontId="9" fillId="0" borderId="5" xfId="0" applyNumberFormat="1" applyFont="1" applyBorder="1"/>
    <xf numFmtId="0" fontId="7" fillId="0" borderId="5" xfId="0" applyFont="1" applyBorder="1" applyAlignment="1">
      <alignment horizontal="center"/>
    </xf>
    <xf numFmtId="165" fontId="7" fillId="0" borderId="5" xfId="0" applyNumberFormat="1" applyFont="1" applyBorder="1" applyAlignment="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1" fontId="0" fillId="0" borderId="0" xfId="0" applyNumberFormat="1" applyAlignment="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lignment horizontal="left"/>
    </xf>
    <xf numFmtId="40" fontId="7" fillId="4" borderId="0" xfId="0" applyNumberFormat="1" applyFont="1" applyFill="1" applyAlignment="1">
      <alignment horizontal="center"/>
    </xf>
    <xf numFmtId="40" fontId="26" fillId="0" borderId="0" xfId="0" applyNumberFormat="1" applyFont="1" applyAlignment="1">
      <alignment horizontal="center"/>
    </xf>
    <xf numFmtId="0" fontId="11" fillId="0" borderId="0" xfId="0" applyFont="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0" fontId="37" fillId="0" borderId="0" xfId="0" applyFont="1" applyAlignment="1">
      <alignment horizontal="center"/>
    </xf>
    <xf numFmtId="164" fontId="29" fillId="0" borderId="0" xfId="0" applyNumberFormat="1" applyFont="1" applyAlignment="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39" fillId="0" borderId="0" xfId="0" applyFont="1"/>
    <xf numFmtId="0" fontId="31" fillId="0" borderId="0" xfId="0" applyFont="1"/>
    <xf numFmtId="0" fontId="13" fillId="0" borderId="0" xfId="0" applyFont="1" applyAlignment="1">
      <alignment horizontal="center"/>
    </xf>
    <xf numFmtId="0" fontId="0" fillId="0" borderId="15" xfId="0"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3" fillId="0" borderId="0" xfId="0" applyFont="1"/>
    <xf numFmtId="0" fontId="44"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xf numFmtId="0" fontId="33" fillId="8" borderId="0" xfId="0" applyFont="1" applyFill="1"/>
    <xf numFmtId="0" fontId="0" fillId="8" borderId="0" xfId="0" applyFill="1"/>
    <xf numFmtId="0" fontId="15" fillId="8" borderId="0" xfId="0" applyFont="1" applyFill="1"/>
    <xf numFmtId="0" fontId="15" fillId="8" borderId="26" xfId="0" applyFont="1" applyFill="1" applyBorder="1" applyAlignment="1">
      <alignment horizontal="center"/>
    </xf>
    <xf numFmtId="0" fontId="15" fillId="8" borderId="26" xfId="0" applyFont="1" applyFill="1" applyBorder="1" applyAlignment="1">
      <alignment horizontal="center" wrapText="1"/>
    </xf>
    <xf numFmtId="0" fontId="15" fillId="8" borderId="26" xfId="0" applyFont="1" applyFill="1" applyBorder="1"/>
    <xf numFmtId="2" fontId="15"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66" fillId="0" borderId="0" xfId="0" applyFont="1"/>
    <xf numFmtId="0" fontId="33" fillId="0" borderId="0" xfId="0" applyFont="1"/>
    <xf numFmtId="0" fontId="65" fillId="0" borderId="0" xfId="0" applyFont="1"/>
    <xf numFmtId="4" fontId="66" fillId="0" borderId="0" xfId="0" applyNumberFormat="1" applyFont="1"/>
    <xf numFmtId="4" fontId="66" fillId="0" borderId="5" xfId="0" applyNumberFormat="1" applyFont="1" applyBorder="1"/>
    <xf numFmtId="0" fontId="66" fillId="0" borderId="0" xfId="0" applyFont="1" applyAlignment="1">
      <alignment horizontal="center"/>
    </xf>
    <xf numFmtId="0" fontId="68" fillId="0" borderId="0" xfId="0" applyFont="1" applyAlignment="1">
      <alignment horizontal="right"/>
    </xf>
    <xf numFmtId="0" fontId="66" fillId="40"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lignment horizontal="center"/>
    </xf>
    <xf numFmtId="165" fontId="69"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8" fillId="7" borderId="0" xfId="0" applyNumberFormat="1" applyFont="1" applyFill="1"/>
    <xf numFmtId="49" fontId="40" fillId="0" borderId="0" xfId="0" applyNumberFormat="1" applyFont="1"/>
    <xf numFmtId="0" fontId="4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xf numFmtId="0" fontId="4"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0" fillId="0" borderId="0" xfId="43" applyFont="1"/>
    <xf numFmtId="0" fontId="62" fillId="43" borderId="0" xfId="43" applyFont="1" applyFill="1"/>
    <xf numFmtId="0" fontId="62"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xf numFmtId="0" fontId="2" fillId="43" borderId="0" xfId="43" applyFont="1" applyFill="1"/>
    <xf numFmtId="49" fontId="7" fillId="43" borderId="0" xfId="0" applyNumberFormat="1" applyFont="1" applyFill="1" applyProtection="1">
      <protection locked="0"/>
    </xf>
    <xf numFmtId="0" fontId="74" fillId="0" borderId="40" xfId="0" applyFont="1" applyBorder="1" applyAlignment="1" applyProtection="1">
      <alignment vertical="top" wrapText="1" readingOrder="1"/>
      <protection locked="0"/>
    </xf>
    <xf numFmtId="0" fontId="75" fillId="45" borderId="41" xfId="0" applyFont="1" applyFill="1" applyBorder="1" applyAlignment="1" applyProtection="1">
      <alignment horizontal="right" vertical="top" wrapText="1" readingOrder="1"/>
      <protection locked="0"/>
    </xf>
    <xf numFmtId="0" fontId="75" fillId="45" borderId="41" xfId="0" applyFont="1" applyFill="1" applyBorder="1" applyAlignment="1" applyProtection="1">
      <alignment vertical="top" wrapText="1" readingOrder="1"/>
      <protection locked="0"/>
    </xf>
    <xf numFmtId="0" fontId="76" fillId="0" borderId="41" xfId="0" applyFont="1" applyBorder="1" applyAlignment="1" applyProtection="1">
      <alignment vertical="top" wrapText="1" readingOrder="1"/>
      <protection locked="0"/>
    </xf>
    <xf numFmtId="0" fontId="75" fillId="45" borderId="0" xfId="0" applyFont="1" applyFill="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74" fillId="0" borderId="0" xfId="0" applyFont="1" applyAlignment="1" applyProtection="1">
      <alignment vertical="top" wrapText="1" readingOrder="1"/>
      <protection locked="0"/>
    </xf>
    <xf numFmtId="0" fontId="0" fillId="0" borderId="40" xfId="0" applyBorder="1"/>
    <xf numFmtId="0" fontId="73" fillId="43" borderId="0" xfId="0" applyFont="1" applyFill="1"/>
    <xf numFmtId="0" fontId="36" fillId="43" borderId="0" xfId="0" applyFont="1" applyFill="1"/>
    <xf numFmtId="0" fontId="0" fillId="43" borderId="0" xfId="0" applyFill="1"/>
    <xf numFmtId="0" fontId="73" fillId="46" borderId="0" xfId="0" applyFont="1" applyFill="1"/>
    <xf numFmtId="0" fontId="36" fillId="46" borderId="0" xfId="0" applyFont="1" applyFill="1"/>
    <xf numFmtId="0" fontId="0" fillId="46" borderId="0" xfId="0" applyFill="1"/>
    <xf numFmtId="0" fontId="73" fillId="47" borderId="0" xfId="0" applyFont="1" applyFill="1"/>
    <xf numFmtId="0" fontId="36" fillId="47" borderId="0" xfId="0" applyFont="1" applyFill="1"/>
    <xf numFmtId="0" fontId="0" fillId="47" borderId="0" xfId="0" applyFill="1"/>
    <xf numFmtId="0" fontId="77" fillId="0" borderId="0" xfId="43" applyFont="1" applyAlignment="1">
      <alignment horizontal="center" vertical="center"/>
    </xf>
    <xf numFmtId="0" fontId="15"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5" fillId="40" borderId="44" xfId="0" applyFont="1" applyFill="1" applyBorder="1"/>
    <xf numFmtId="0" fontId="0" fillId="40" borderId="0" xfId="0" applyFill="1"/>
    <xf numFmtId="0" fontId="0" fillId="0" borderId="46" xfId="0" applyBorder="1"/>
    <xf numFmtId="0" fontId="16" fillId="41" borderId="39" xfId="0" applyFont="1" applyFill="1" applyBorder="1" applyProtection="1">
      <protection locked="0"/>
    </xf>
    <xf numFmtId="0" fontId="41" fillId="0" borderId="2" xfId="0" applyFont="1" applyBorder="1"/>
    <xf numFmtId="0" fontId="41" fillId="7" borderId="47" xfId="0" applyFont="1" applyFill="1" applyBorder="1" applyAlignment="1">
      <alignment horizontal="center" wrapText="1"/>
    </xf>
    <xf numFmtId="0" fontId="15" fillId="8" borderId="0" xfId="0" applyFont="1" applyFill="1" applyAlignment="1">
      <alignment wrapText="1"/>
    </xf>
    <xf numFmtId="0" fontId="0" fillId="0" borderId="0" xfId="0" applyAlignment="1" applyProtection="1">
      <alignment wrapText="1"/>
      <protection locked="0"/>
    </xf>
    <xf numFmtId="40" fontId="15" fillId="0" borderId="0" xfId="0" applyNumberFormat="1" applyFont="1"/>
    <xf numFmtId="4" fontId="0" fillId="0" borderId="0" xfId="0" applyNumberFormat="1"/>
    <xf numFmtId="39" fontId="82" fillId="0" borderId="0" xfId="0" applyNumberFormat="1" applyFont="1"/>
    <xf numFmtId="40" fontId="9" fillId="0" borderId="6" xfId="0" applyNumberFormat="1" applyFont="1" applyBorder="1"/>
    <xf numFmtId="40" fontId="9" fillId="0" borderId="6" xfId="0" applyNumberFormat="1" applyFont="1" applyBorder="1" applyAlignment="1">
      <alignment horizontal="right"/>
    </xf>
    <xf numFmtId="0" fontId="48" fillId="0" borderId="0" xfId="0" applyFont="1" applyAlignment="1">
      <alignment wrapText="1"/>
    </xf>
    <xf numFmtId="0" fontId="83" fillId="40" borderId="0" xfId="0" applyFont="1" applyFill="1"/>
    <xf numFmtId="0" fontId="16" fillId="0" borderId="0" xfId="0" applyFont="1" applyProtection="1">
      <protection locked="0"/>
    </xf>
    <xf numFmtId="40" fontId="15" fillId="46" borderId="0" xfId="0" applyNumberFormat="1" applyFont="1" applyFill="1"/>
    <xf numFmtId="0" fontId="41" fillId="40" borderId="0" xfId="0" applyFont="1" applyFill="1"/>
    <xf numFmtId="49" fontId="15"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xf numFmtId="0" fontId="66" fillId="7" borderId="0" xfId="0" applyFont="1" applyFill="1"/>
    <xf numFmtId="0" fontId="32" fillId="0" borderId="0" xfId="0" applyFont="1" applyAlignment="1">
      <alignment horizontal="center"/>
    </xf>
    <xf numFmtId="0" fontId="32" fillId="0" borderId="0" xfId="0" applyFo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xf numFmtId="0" fontId="43" fillId="0" borderId="0" xfId="0" applyFont="1" applyAlignment="1">
      <alignment horizontal="left" vertical="top" wrapText="1"/>
    </xf>
    <xf numFmtId="0" fontId="73" fillId="46" borderId="0" xfId="0" applyFont="1" applyFill="1" applyAlignment="1">
      <alignment wrapText="1"/>
    </xf>
    <xf numFmtId="0" fontId="0" fillId="0" borderId="0" xfId="0" applyAlignment="1">
      <alignment wrapText="1"/>
    </xf>
    <xf numFmtId="0" fontId="30" fillId="0" borderId="0" xfId="0" applyFont="1" applyAlignment="1">
      <alignment horizontal="center"/>
    </xf>
    <xf numFmtId="49" fontId="16" fillId="0" borderId="0" xfId="0" applyNumberFormat="1" applyFont="1" applyAlignment="1" applyProtection="1">
      <alignment horizontal="left"/>
      <protection locked="0"/>
    </xf>
    <xf numFmtId="49" fontId="16" fillId="0" borderId="10" xfId="0" applyNumberFormat="1" applyFont="1" applyBorder="1" applyAlignment="1" applyProtection="1">
      <alignment horizontal="left"/>
      <protection locked="0"/>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lignment horizontal="center"/>
    </xf>
    <xf numFmtId="49" fontId="16" fillId="0" borderId="0" xfId="0" applyNumberFormat="1" applyFont="1" applyAlignment="1">
      <alignment horizontal="left"/>
    </xf>
    <xf numFmtId="49" fontId="16" fillId="0" borderId="10" xfId="0" applyNumberFormat="1" applyFont="1" applyBorder="1" applyAlignment="1">
      <alignment horizontal="left"/>
    </xf>
    <xf numFmtId="0" fontId="33" fillId="0" borderId="20" xfId="0" applyFont="1" applyBorder="1" applyAlignment="1">
      <alignment horizontal="center"/>
    </xf>
    <xf numFmtId="0" fontId="33" fillId="0" borderId="8" xfId="0" applyFont="1" applyBorder="1" applyAlignment="1">
      <alignment horizontal="center"/>
    </xf>
    <xf numFmtId="0" fontId="15" fillId="0" borderId="10" xfId="0" applyFont="1" applyBorder="1" applyAlignment="1">
      <alignment horizontal="center"/>
    </xf>
    <xf numFmtId="49" fontId="36" fillId="0" borderId="0" xfId="0" applyNumberFormat="1" applyFont="1"/>
    <xf numFmtId="0" fontId="36" fillId="0" borderId="0" xfId="0" applyFont="1"/>
    <xf numFmtId="0" fontId="35" fillId="0" borderId="11" xfId="0" applyFont="1" applyBorder="1" applyAlignment="1">
      <alignment horizontal="center"/>
    </xf>
    <xf numFmtId="0" fontId="35" fillId="0" borderId="0" xfId="0" applyFont="1" applyAlignment="1">
      <alignment horizontal="center"/>
    </xf>
  </cellXfs>
  <cellStyles count="47">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Comma 2" xfId="46" xr:uid="{00000000-0005-0000-0000-00001B000000}"/>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6000000}"/>
    <cellStyle name="Normal 3" xfId="43" xr:uid="{00000000-0005-0000-0000-000027000000}"/>
    <cellStyle name="Normal 4" xfId="44" xr:uid="{00000000-0005-0000-0000-000028000000}"/>
    <cellStyle name="Normal 5" xfId="45" xr:uid="{00000000-0005-0000-0000-000029000000}"/>
    <cellStyle name="Note 2" xfId="42" xr:uid="{00000000-0005-0000-0000-00002A000000}"/>
    <cellStyle name="Output" xfId="9" builtinId="21" customBuiltin="1"/>
    <cellStyle name="Title 2" xfId="41" xr:uid="{00000000-0005-0000-0000-00002C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1413</v>
      </c>
      <c r="B2">
        <f>INDEX('School Tables'!$AH$3:$AH$213,MATCH('DOE25'!A2,'School Tables'!$AJ$3:$AJ$213,0))</f>
        <v>503</v>
      </c>
      <c r="C2">
        <f>INDEX('School Tables'!$AI$3:$AI$213,MATCH('DOE25'!A2,'School Tables'!$AJ$3:$AJ$213,0))</f>
        <v>503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360808.55</v>
      </c>
      <c r="G9" s="18">
        <v>0</v>
      </c>
      <c r="H9" s="18">
        <v>0</v>
      </c>
      <c r="I9" s="18">
        <v>0</v>
      </c>
      <c r="J9" s="13">
        <f>SUM(I440)</f>
        <v>252260.92</v>
      </c>
      <c r="K9" s="23" t="s">
        <v>288</v>
      </c>
      <c r="L9" s="23" t="s">
        <v>288</v>
      </c>
      <c r="M9" s="8"/>
      <c r="N9" s="164"/>
    </row>
    <row r="10" spans="1:14" s="3" customFormat="1" ht="12.2" customHeight="1" x14ac:dyDescent="0.15">
      <c r="A10" s="1" t="s">
        <v>562</v>
      </c>
      <c r="B10" s="2" t="s">
        <v>289</v>
      </c>
      <c r="C10" s="6">
        <v>2</v>
      </c>
      <c r="D10" s="2" t="s">
        <v>428</v>
      </c>
      <c r="E10" s="6">
        <v>110</v>
      </c>
      <c r="F10" s="18">
        <v>0</v>
      </c>
      <c r="G10" s="18">
        <v>0</v>
      </c>
      <c r="H10" s="18">
        <v>0</v>
      </c>
      <c r="I10" s="18">
        <v>0</v>
      </c>
      <c r="J10" s="13">
        <f>SUM(I441)</f>
        <v>0</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0</v>
      </c>
      <c r="G12" s="18">
        <v>0</v>
      </c>
      <c r="H12" s="18">
        <v>0</v>
      </c>
      <c r="I12" s="18">
        <v>0</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v>0</v>
      </c>
      <c r="G13" s="18">
        <v>486.04</v>
      </c>
      <c r="H13" s="18">
        <v>36157.51</v>
      </c>
      <c r="I13" s="18">
        <v>0</v>
      </c>
      <c r="J13" s="13">
        <f>SUM(I443)</f>
        <v>0</v>
      </c>
      <c r="K13" s="23" t="s">
        <v>288</v>
      </c>
      <c r="L13" s="23" t="s">
        <v>288</v>
      </c>
      <c r="M13" s="8"/>
      <c r="N13" s="164"/>
    </row>
    <row r="14" spans="1:14" s="3" customFormat="1" ht="12.2" customHeight="1" x14ac:dyDescent="0.15">
      <c r="A14" s="1" t="s">
        <v>565</v>
      </c>
      <c r="B14" s="2" t="s">
        <v>289</v>
      </c>
      <c r="C14" s="6">
        <v>6</v>
      </c>
      <c r="D14" s="2" t="s">
        <v>428</v>
      </c>
      <c r="E14" s="6">
        <v>150</v>
      </c>
      <c r="F14" s="18">
        <v>762.24</v>
      </c>
      <c r="G14" s="18">
        <v>0</v>
      </c>
      <c r="H14" s="18">
        <v>0</v>
      </c>
      <c r="I14" s="18">
        <v>0</v>
      </c>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4"/>
    </row>
    <row r="17" spans="1:14" s="3" customFormat="1" ht="12.2" customHeight="1" x14ac:dyDescent="0.15">
      <c r="A17" s="1" t="s">
        <v>567</v>
      </c>
      <c r="B17" s="2" t="s">
        <v>289</v>
      </c>
      <c r="C17" s="6">
        <v>9</v>
      </c>
      <c r="D17" s="2" t="s">
        <v>428</v>
      </c>
      <c r="E17" s="6">
        <v>180</v>
      </c>
      <c r="F17" s="18">
        <v>600</v>
      </c>
      <c r="G17" s="18">
        <v>0</v>
      </c>
      <c r="H17" s="18">
        <v>0</v>
      </c>
      <c r="I17" s="18">
        <v>0</v>
      </c>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362170.79</v>
      </c>
      <c r="G19" s="38">
        <f>SUM(G9:G18)</f>
        <v>486.04</v>
      </c>
      <c r="H19" s="38">
        <f>SUM(H9:H18)</f>
        <v>36157.51</v>
      </c>
      <c r="I19" s="38">
        <f>SUM(I9:I18)</f>
        <v>0</v>
      </c>
      <c r="J19" s="38">
        <f>SUM(J9:J18)</f>
        <v>252260.92</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-15101.24</v>
      </c>
      <c r="G22" s="18">
        <v>-3474.56</v>
      </c>
      <c r="H22" s="18">
        <v>18575.8</v>
      </c>
      <c r="I22" s="18">
        <v>0</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12797.71</v>
      </c>
      <c r="G23" s="18">
        <v>0</v>
      </c>
      <c r="H23" s="18">
        <v>0</v>
      </c>
      <c r="I23" s="18">
        <v>0</v>
      </c>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3219.78+41789.79</f>
        <v>45009.57</v>
      </c>
      <c r="G24" s="18">
        <v>376.14</v>
      </c>
      <c r="H24" s="18">
        <v>16637.91</v>
      </c>
      <c r="I24" s="18">
        <v>0</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0</v>
      </c>
      <c r="G25" s="18">
        <v>0</v>
      </c>
      <c r="H25" s="18">
        <v>0</v>
      </c>
      <c r="I25" s="18">
        <v>0</v>
      </c>
      <c r="J25" s="23" t="s">
        <v>288</v>
      </c>
      <c r="K25" s="23" t="s">
        <v>288</v>
      </c>
      <c r="L25" s="23" t="s">
        <v>288</v>
      </c>
      <c r="M25" s="8"/>
      <c r="N25" s="164"/>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4"/>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4"/>
    </row>
    <row r="28" spans="1:14" s="3" customFormat="1" ht="12.2" customHeight="1" x14ac:dyDescent="0.15">
      <c r="A28" s="1" t="s">
        <v>573</v>
      </c>
      <c r="B28" s="2" t="s">
        <v>289</v>
      </c>
      <c r="C28" s="6">
        <v>18</v>
      </c>
      <c r="D28" s="2" t="s">
        <v>429</v>
      </c>
      <c r="E28" s="6">
        <v>460</v>
      </c>
      <c r="F28" s="18">
        <v>1826.82</v>
      </c>
      <c r="G28" s="18">
        <v>0</v>
      </c>
      <c r="H28" s="18">
        <v>0</v>
      </c>
      <c r="I28" s="18">
        <v>0</v>
      </c>
      <c r="J28" s="23" t="s">
        <v>288</v>
      </c>
      <c r="K28" s="23" t="s">
        <v>288</v>
      </c>
      <c r="L28" s="23" t="s">
        <v>288</v>
      </c>
      <c r="M28" s="8"/>
      <c r="N28" s="164"/>
    </row>
    <row r="29" spans="1:14" s="3" customFormat="1" ht="12.2" customHeight="1" x14ac:dyDescent="0.15">
      <c r="A29" s="1" t="s">
        <v>575</v>
      </c>
      <c r="B29" s="2" t="s">
        <v>289</v>
      </c>
      <c r="C29" s="6">
        <v>19</v>
      </c>
      <c r="D29" s="2" t="s">
        <v>429</v>
      </c>
      <c r="E29" s="6">
        <v>470</v>
      </c>
      <c r="F29" s="18">
        <v>1883.57</v>
      </c>
      <c r="G29" s="18">
        <v>0</v>
      </c>
      <c r="H29" s="18">
        <v>0</v>
      </c>
      <c r="I29" s="18">
        <v>0</v>
      </c>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v>216.85</v>
      </c>
      <c r="H30" s="18">
        <v>943.8</v>
      </c>
      <c r="I30" s="18">
        <v>0</v>
      </c>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v>0</v>
      </c>
      <c r="H31" s="18">
        <v>0</v>
      </c>
      <c r="I31" s="18">
        <v>0</v>
      </c>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46416.43</v>
      </c>
      <c r="G32" s="38">
        <f>SUM(G22:G31)</f>
        <v>-2881.57</v>
      </c>
      <c r="H32" s="38">
        <f>SUM(H22:H31)</f>
        <v>36157.51</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4"/>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4"/>
    </row>
    <row r="37" spans="1:14" s="3" customFormat="1" ht="12.2" customHeight="1" x14ac:dyDescent="0.15">
      <c r="A37" s="1" t="s">
        <v>848</v>
      </c>
      <c r="B37" s="6">
        <v>1</v>
      </c>
      <c r="C37" s="6">
        <v>25</v>
      </c>
      <c r="D37" s="2" t="s">
        <v>653</v>
      </c>
      <c r="E37" s="6">
        <v>756</v>
      </c>
      <c r="F37" s="18">
        <v>0</v>
      </c>
      <c r="G37" s="18">
        <v>0</v>
      </c>
      <c r="H37" s="18">
        <v>0</v>
      </c>
      <c r="I37" s="18">
        <v>0</v>
      </c>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v>0</v>
      </c>
      <c r="G39" s="18">
        <v>0</v>
      </c>
      <c r="H39" s="18"/>
      <c r="I39" s="18">
        <v>0</v>
      </c>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v>0</v>
      </c>
      <c r="G43" s="18">
        <v>0</v>
      </c>
      <c r="H43" s="18">
        <v>0</v>
      </c>
      <c r="I43" s="18">
        <v>0</v>
      </c>
      <c r="J43" s="13">
        <f>SUM(I457)</f>
        <v>0</v>
      </c>
      <c r="K43" s="23" t="s">
        <v>288</v>
      </c>
      <c r="L43" s="23" t="s">
        <v>288</v>
      </c>
      <c r="M43" s="8"/>
      <c r="N43" s="164"/>
    </row>
    <row r="44" spans="1:14" s="3" customFormat="1" ht="12.2" customHeight="1" x14ac:dyDescent="0.15">
      <c r="A44" s="1" t="s">
        <v>833</v>
      </c>
      <c r="B44" s="6">
        <v>1</v>
      </c>
      <c r="C44" s="6">
        <v>30</v>
      </c>
      <c r="D44" s="2" t="s">
        <v>653</v>
      </c>
      <c r="E44" s="6">
        <v>755</v>
      </c>
      <c r="F44" s="18">
        <v>100000</v>
      </c>
      <c r="G44" s="18">
        <v>0</v>
      </c>
      <c r="H44" s="18">
        <v>0</v>
      </c>
      <c r="I44" s="18"/>
      <c r="J44" s="23" t="s">
        <v>288</v>
      </c>
      <c r="K44" s="23" t="s">
        <v>288</v>
      </c>
      <c r="L44" s="23" t="s">
        <v>288</v>
      </c>
      <c r="M44" s="8"/>
      <c r="N44" s="164"/>
    </row>
    <row r="45" spans="1:14" s="3" customFormat="1" ht="12.2" customHeight="1" x14ac:dyDescent="0.15">
      <c r="A45" s="1" t="s">
        <v>834</v>
      </c>
      <c r="B45" s="6">
        <v>1</v>
      </c>
      <c r="C45" s="6">
        <v>31</v>
      </c>
      <c r="D45" s="2"/>
      <c r="E45" s="6">
        <v>753</v>
      </c>
      <c r="F45" s="18">
        <v>30874</v>
      </c>
      <c r="G45" s="18">
        <v>0</v>
      </c>
      <c r="H45" s="18"/>
      <c r="I45" s="18"/>
      <c r="J45" s="13">
        <f>I456</f>
        <v>0</v>
      </c>
      <c r="K45" s="23" t="s">
        <v>288</v>
      </c>
      <c r="L45" s="23" t="s">
        <v>288</v>
      </c>
      <c r="M45" s="8"/>
      <c r="N45" s="164"/>
    </row>
    <row r="46" spans="1:14" s="3" customFormat="1" ht="12.2" customHeight="1" x14ac:dyDescent="0.15">
      <c r="A46" s="1" t="s">
        <v>870</v>
      </c>
      <c r="B46" s="6">
        <v>1</v>
      </c>
      <c r="C46" s="6">
        <v>32</v>
      </c>
      <c r="D46" s="2"/>
      <c r="E46" s="6"/>
      <c r="F46" s="18">
        <v>108680.36</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0</v>
      </c>
      <c r="G48" s="18">
        <v>3367.61</v>
      </c>
      <c r="H48" s="18">
        <v>0</v>
      </c>
      <c r="I48" s="18"/>
      <c r="J48" s="13">
        <f>SUM(I460)</f>
        <v>252260.92</v>
      </c>
      <c r="K48" s="23" t="s">
        <v>288</v>
      </c>
      <c r="L48" s="23" t="s">
        <v>288</v>
      </c>
      <c r="M48" s="8"/>
      <c r="N48" s="164"/>
    </row>
    <row r="49" spans="1:14" s="3" customFormat="1" ht="12.2" customHeight="1" x14ac:dyDescent="0.15">
      <c r="A49" s="1" t="s">
        <v>855</v>
      </c>
      <c r="B49" s="2" t="s">
        <v>289</v>
      </c>
      <c r="C49" s="6">
        <v>34</v>
      </c>
      <c r="D49" s="2"/>
      <c r="E49" s="6">
        <v>753</v>
      </c>
      <c r="F49" s="18">
        <v>0</v>
      </c>
      <c r="G49" s="18"/>
      <c r="H49" s="18"/>
      <c r="I49" s="18">
        <v>0</v>
      </c>
      <c r="J49" s="13">
        <f>I455</f>
        <v>0</v>
      </c>
      <c r="K49" s="23"/>
      <c r="L49" s="23"/>
      <c r="M49" s="8"/>
      <c r="N49" s="164"/>
    </row>
    <row r="50" spans="1:14" s="3" customFormat="1" ht="12.2" customHeight="1" thickBot="1" x14ac:dyDescent="0.2">
      <c r="A50" s="28" t="s">
        <v>836</v>
      </c>
      <c r="B50" s="2" t="s">
        <v>289</v>
      </c>
      <c r="C50" s="56">
        <v>35</v>
      </c>
      <c r="D50" s="2" t="s">
        <v>653</v>
      </c>
      <c r="E50" s="6">
        <v>770</v>
      </c>
      <c r="F50" s="18">
        <v>76200</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315754.36</v>
      </c>
      <c r="G51" s="38">
        <f>SUM(G35:G50)</f>
        <v>3367.61</v>
      </c>
      <c r="H51" s="38">
        <f>SUM(H35:H50)</f>
        <v>0</v>
      </c>
      <c r="I51" s="38">
        <f>SUM(I35:I50)</f>
        <v>0</v>
      </c>
      <c r="J51" s="38">
        <f>SUM(J35:J50)</f>
        <v>252260.92</v>
      </c>
      <c r="K51" s="42" t="s">
        <v>288</v>
      </c>
      <c r="L51" s="42" t="s">
        <v>288</v>
      </c>
      <c r="N51" s="130"/>
    </row>
    <row r="52" spans="1:14" s="3" customFormat="1" ht="12.2" customHeight="1" thickTop="1" x14ac:dyDescent="0.15">
      <c r="A52" s="35" t="s">
        <v>455</v>
      </c>
      <c r="B52" s="36" t="s">
        <v>289</v>
      </c>
      <c r="C52" s="6">
        <v>37</v>
      </c>
      <c r="D52" s="36" t="s">
        <v>653</v>
      </c>
      <c r="E52" s="36"/>
      <c r="F52" s="38">
        <f>F51+F32</f>
        <v>362170.79</v>
      </c>
      <c r="G52" s="38">
        <f>G51+G32</f>
        <v>486.03999999999996</v>
      </c>
      <c r="H52" s="38">
        <f>H51+H32</f>
        <v>36157.51</v>
      </c>
      <c r="I52" s="38">
        <f>I51+I32</f>
        <v>0</v>
      </c>
      <c r="J52" s="38">
        <f>J51+J32</f>
        <v>252260.92</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2543688</v>
      </c>
      <c r="G57" s="18">
        <v>33100</v>
      </c>
      <c r="H57" s="18">
        <v>0</v>
      </c>
      <c r="I57" s="18">
        <v>0</v>
      </c>
      <c r="J57" s="18">
        <v>0</v>
      </c>
      <c r="K57" s="23" t="s">
        <v>288</v>
      </c>
      <c r="L57" s="23" t="s">
        <v>288</v>
      </c>
      <c r="M57" s="8"/>
      <c r="N57" s="164"/>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2543688</v>
      </c>
      <c r="G60" s="38">
        <f>SUM(G57:G59)</f>
        <v>33100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0</v>
      </c>
      <c r="G63" s="23" t="s">
        <v>288</v>
      </c>
      <c r="H63" s="18">
        <v>0</v>
      </c>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20444.57</v>
      </c>
      <c r="G96" s="18">
        <v>0</v>
      </c>
      <c r="H96" s="18">
        <v>0</v>
      </c>
      <c r="I96" s="18">
        <v>0</v>
      </c>
      <c r="J96" s="18">
        <v>13216.34</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11068.6</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0</v>
      </c>
      <c r="G101" s="18">
        <v>0</v>
      </c>
      <c r="H101" s="18">
        <v>0</v>
      </c>
      <c r="I101" s="18">
        <v>0</v>
      </c>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v>0</v>
      </c>
      <c r="H102" s="18">
        <v>0</v>
      </c>
      <c r="I102" s="18">
        <v>0</v>
      </c>
      <c r="J102" s="18"/>
      <c r="K102" s="23" t="s">
        <v>288</v>
      </c>
      <c r="L102" s="23" t="s">
        <v>288</v>
      </c>
      <c r="M102" s="8"/>
      <c r="N102" s="164"/>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0</v>
      </c>
      <c r="G108" s="18">
        <v>0</v>
      </c>
      <c r="H108" s="18">
        <v>0</v>
      </c>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10838.9</v>
      </c>
      <c r="G109" s="18">
        <v>0</v>
      </c>
      <c r="H109" s="18">
        <v>0</v>
      </c>
      <c r="I109" s="18">
        <v>0</v>
      </c>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2235.23</v>
      </c>
      <c r="G110" s="18">
        <v>0</v>
      </c>
      <c r="H110" s="18">
        <v>0</v>
      </c>
      <c r="I110" s="18">
        <v>0</v>
      </c>
      <c r="J110" s="18">
        <v>0</v>
      </c>
      <c r="K110" s="23" t="s">
        <v>288</v>
      </c>
      <c r="L110" s="23" t="s">
        <v>288</v>
      </c>
      <c r="M110" s="8"/>
      <c r="N110" s="164"/>
    </row>
    <row r="111" spans="1:14" ht="12.2" customHeight="1" thickTop="1" thickBot="1" x14ac:dyDescent="0.25">
      <c r="A111" s="35" t="s">
        <v>433</v>
      </c>
      <c r="B111" s="36" t="s">
        <v>315</v>
      </c>
      <c r="C111" s="37">
        <v>25</v>
      </c>
      <c r="D111" s="36" t="s">
        <v>430</v>
      </c>
      <c r="E111" s="37"/>
      <c r="F111" s="38">
        <f>SUM(F96:F110)</f>
        <v>33518.700000000004</v>
      </c>
      <c r="G111" s="38">
        <f>SUM(G96:G110)</f>
        <v>11068.6</v>
      </c>
      <c r="H111" s="38">
        <f>SUM(H96:H110)</f>
        <v>0</v>
      </c>
      <c r="I111" s="38">
        <f>SUM(I96:I110)</f>
        <v>0</v>
      </c>
      <c r="J111" s="38">
        <f>SUM(J96:J110)</f>
        <v>13216.34</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2577206.7000000002</v>
      </c>
      <c r="G112" s="38">
        <f>G60+G111</f>
        <v>44168.6</v>
      </c>
      <c r="H112" s="38">
        <f>H60+H79+H94+H111</f>
        <v>0</v>
      </c>
      <c r="I112" s="38">
        <f>I60+I111</f>
        <v>0</v>
      </c>
      <c r="J112" s="38">
        <f>J60+J111</f>
        <v>13216.34</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220632.08</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552862</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2050</v>
      </c>
      <c r="G120" s="18">
        <v>0</v>
      </c>
      <c r="H120" s="18">
        <v>0</v>
      </c>
      <c r="I120" s="18">
        <v>0</v>
      </c>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775544.08</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0</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v>0</v>
      </c>
      <c r="G129" s="23" t="s">
        <v>288</v>
      </c>
      <c r="H129" s="18">
        <v>0</v>
      </c>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v>0</v>
      </c>
      <c r="G130" s="23" t="s">
        <v>288</v>
      </c>
      <c r="H130" s="18">
        <v>0</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384.6</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384.6</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775544.08</v>
      </c>
      <c r="G140" s="38">
        <f>G121+SUM(G136:G137)</f>
        <v>384.6</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0</v>
      </c>
      <c r="G145" s="18">
        <v>0</v>
      </c>
      <c r="H145" s="18">
        <v>4721.51</v>
      </c>
      <c r="I145" s="18">
        <v>0</v>
      </c>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4721.51</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35847.620000000003</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11792.54</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8571.08+4576.84</f>
        <v>13147.92</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37275.370000000003</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118.91</v>
      </c>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0</v>
      </c>
      <c r="G161" s="18">
        <v>0</v>
      </c>
      <c r="H161" s="18">
        <v>16203.95</v>
      </c>
      <c r="I161" s="18">
        <v>0</v>
      </c>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v>0</v>
      </c>
      <c r="H162" s="18">
        <v>29044.16</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118.91</v>
      </c>
      <c r="G163" s="38">
        <f>SUM(G150:G162)</f>
        <v>13147.92</v>
      </c>
      <c r="H163" s="38">
        <f>SUM(H150:H162)</f>
        <v>130163.64</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118.91</v>
      </c>
      <c r="G170" s="38">
        <f>G147+G163+SUM(G164:G169)</f>
        <v>13147.92</v>
      </c>
      <c r="H170" s="38">
        <f>H147+H163+SUM(H164:H169)</f>
        <v>134885.15</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0</v>
      </c>
      <c r="H180" s="18">
        <v>0</v>
      </c>
      <c r="I180" s="18">
        <v>0</v>
      </c>
      <c r="J180" s="18">
        <v>0</v>
      </c>
      <c r="K180" s="23" t="s">
        <v>288</v>
      </c>
      <c r="L180" s="23" t="s">
        <v>288</v>
      </c>
      <c r="M180" s="8"/>
      <c r="N180" s="164"/>
    </row>
    <row r="181" spans="1:14" s="3" customFormat="1" ht="12.2" customHeight="1" x14ac:dyDescent="0.15">
      <c r="A181" s="1" t="s">
        <v>525</v>
      </c>
      <c r="B181" s="2" t="s">
        <v>330</v>
      </c>
      <c r="C181" s="6">
        <v>7</v>
      </c>
      <c r="D181" s="2" t="s">
        <v>430</v>
      </c>
      <c r="E181" s="6">
        <v>5221</v>
      </c>
      <c r="F181" s="18">
        <v>0</v>
      </c>
      <c r="G181" s="23" t="s">
        <v>288</v>
      </c>
      <c r="H181" s="18">
        <v>0</v>
      </c>
      <c r="I181" s="18">
        <v>0</v>
      </c>
      <c r="J181" s="18"/>
      <c r="K181" s="23" t="s">
        <v>288</v>
      </c>
      <c r="L181" s="23" t="s">
        <v>288</v>
      </c>
      <c r="M181" s="8"/>
      <c r="N181" s="164"/>
    </row>
    <row r="182" spans="1:14" s="3" customFormat="1" ht="12.2" customHeight="1" x14ac:dyDescent="0.15">
      <c r="A182" s="3" t="s">
        <v>526</v>
      </c>
      <c r="B182" s="2" t="s">
        <v>330</v>
      </c>
      <c r="C182" s="6">
        <v>8</v>
      </c>
      <c r="D182" s="2" t="s">
        <v>430</v>
      </c>
      <c r="E182" s="6">
        <v>5222</v>
      </c>
      <c r="F182" s="18">
        <v>0</v>
      </c>
      <c r="G182" s="18">
        <v>0</v>
      </c>
      <c r="H182" s="23" t="s">
        <v>288</v>
      </c>
      <c r="I182" s="18">
        <v>0</v>
      </c>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v>0</v>
      </c>
      <c r="G183" s="18">
        <v>0</v>
      </c>
      <c r="H183" s="18">
        <v>0</v>
      </c>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4"/>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0"/>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v>0</v>
      </c>
      <c r="G192" s="18">
        <v>0</v>
      </c>
      <c r="H192" s="18">
        <v>0</v>
      </c>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3352869.6900000004</v>
      </c>
      <c r="G194" s="38">
        <f>G112+G140+G170+G193</f>
        <v>57701.119999999995</v>
      </c>
      <c r="H194" s="38">
        <f>H112+H140+H170+H193</f>
        <v>134885.15</v>
      </c>
      <c r="I194" s="38">
        <f>I112+I140+I170+I193</f>
        <v>0</v>
      </c>
      <c r="J194" s="38">
        <f>J112+J140+J193</f>
        <v>13216.34</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271391.95</v>
      </c>
      <c r="G198" s="18">
        <v>121693.35</v>
      </c>
      <c r="H198" s="18">
        <v>11345.1</v>
      </c>
      <c r="I198" s="18">
        <v>19631.580000000002</v>
      </c>
      <c r="J198" s="18">
        <v>3615.18</v>
      </c>
      <c r="K198" s="18">
        <v>3395.85</v>
      </c>
      <c r="L198" s="13">
        <f>SUM(F198:K198)</f>
        <v>431073.01</v>
      </c>
      <c r="M198" s="8"/>
      <c r="N198" s="164"/>
    </row>
    <row r="199" spans="1:14" s="3" customFormat="1" ht="12.2" customHeight="1" x14ac:dyDescent="0.15">
      <c r="A199" s="1" t="s">
        <v>439</v>
      </c>
      <c r="B199" s="2" t="s">
        <v>341</v>
      </c>
      <c r="C199" s="2" t="s">
        <v>291</v>
      </c>
      <c r="D199" s="2" t="s">
        <v>431</v>
      </c>
      <c r="E199" s="6">
        <v>1200</v>
      </c>
      <c r="F199" s="18">
        <v>124640.57</v>
      </c>
      <c r="G199" s="18">
        <v>49964.63</v>
      </c>
      <c r="H199" s="18">
        <v>27867.119999999999</v>
      </c>
      <c r="I199" s="18">
        <v>952.5</v>
      </c>
      <c r="J199" s="18">
        <v>0</v>
      </c>
      <c r="K199" s="18">
        <v>301.60000000000002</v>
      </c>
      <c r="L199" s="13">
        <f>SUM(F199:K199)</f>
        <v>203726.42</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0</v>
      </c>
      <c r="G201" s="18">
        <v>0</v>
      </c>
      <c r="H201" s="18">
        <v>870</v>
      </c>
      <c r="I201" s="18">
        <v>0</v>
      </c>
      <c r="J201" s="18">
        <v>0</v>
      </c>
      <c r="K201" s="18">
        <v>0</v>
      </c>
      <c r="L201" s="13">
        <f>SUM(F201:K201)</f>
        <v>870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65351.22</v>
      </c>
      <c r="G203" s="18">
        <v>4999.5600000000004</v>
      </c>
      <c r="H203" s="18">
        <v>90044.6</v>
      </c>
      <c r="I203" s="18">
        <v>418.92</v>
      </c>
      <c r="J203" s="18">
        <v>0</v>
      </c>
      <c r="K203" s="18">
        <v>0</v>
      </c>
      <c r="L203" s="13">
        <f t="shared" ref="L203:L209" si="0">SUM(F203:K203)</f>
        <v>160814.30000000002</v>
      </c>
      <c r="M203" s="8"/>
      <c r="N203" s="164"/>
    </row>
    <row r="204" spans="1:14" s="3" customFormat="1" ht="12.2" customHeight="1" x14ac:dyDescent="0.15">
      <c r="A204" s="1" t="s">
        <v>443</v>
      </c>
      <c r="B204" s="2" t="s">
        <v>341</v>
      </c>
      <c r="C204" s="2" t="s">
        <v>295</v>
      </c>
      <c r="D204" s="2" t="s">
        <v>431</v>
      </c>
      <c r="E204" s="6">
        <v>2200</v>
      </c>
      <c r="F204" s="18">
        <v>1105</v>
      </c>
      <c r="G204" s="18">
        <v>7113.48</v>
      </c>
      <c r="H204" s="18">
        <v>500</v>
      </c>
      <c r="I204" s="18">
        <v>9204.0400000000009</v>
      </c>
      <c r="J204" s="18">
        <v>13422.5</v>
      </c>
      <c r="K204" s="18">
        <v>0</v>
      </c>
      <c r="L204" s="13">
        <f t="shared" si="0"/>
        <v>31345.02</v>
      </c>
      <c r="M204" s="8"/>
      <c r="N204" s="164"/>
    </row>
    <row r="205" spans="1:14" s="3" customFormat="1" ht="12.2" customHeight="1" x14ac:dyDescent="0.15">
      <c r="A205" s="1" t="s">
        <v>444</v>
      </c>
      <c r="B205" s="2" t="s">
        <v>341</v>
      </c>
      <c r="C205" s="2" t="s">
        <v>296</v>
      </c>
      <c r="D205" s="2" t="s">
        <v>431</v>
      </c>
      <c r="E205" s="6">
        <v>2300</v>
      </c>
      <c r="F205" s="18">
        <v>1451.5</v>
      </c>
      <c r="G205" s="18">
        <v>111.03</v>
      </c>
      <c r="H205" s="18">
        <v>98186.51</v>
      </c>
      <c r="I205" s="18">
        <v>950.57</v>
      </c>
      <c r="J205" s="18">
        <v>0</v>
      </c>
      <c r="K205" s="18">
        <v>1612.5</v>
      </c>
      <c r="L205" s="13">
        <f t="shared" si="0"/>
        <v>102312.11</v>
      </c>
      <c r="M205" s="8"/>
      <c r="N205" s="164"/>
    </row>
    <row r="206" spans="1:14" s="3" customFormat="1" ht="12.2" customHeight="1" x14ac:dyDescent="0.15">
      <c r="A206" s="1" t="s">
        <v>445</v>
      </c>
      <c r="B206" s="2" t="s">
        <v>341</v>
      </c>
      <c r="C206" s="2" t="s">
        <v>297</v>
      </c>
      <c r="D206" s="2" t="s">
        <v>431</v>
      </c>
      <c r="E206" s="6">
        <v>2400</v>
      </c>
      <c r="F206" s="18">
        <v>133138.88</v>
      </c>
      <c r="G206" s="18">
        <v>65339.95</v>
      </c>
      <c r="H206" s="18">
        <v>20136.560000000001</v>
      </c>
      <c r="I206" s="18">
        <v>575.65</v>
      </c>
      <c r="J206" s="18">
        <v>0</v>
      </c>
      <c r="K206" s="18">
        <v>819</v>
      </c>
      <c r="L206" s="13">
        <f t="shared" si="0"/>
        <v>220010.04</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4"/>
    </row>
    <row r="208" spans="1:14" s="3" customFormat="1" ht="12.2" customHeight="1" x14ac:dyDescent="0.15">
      <c r="A208" s="1" t="s">
        <v>447</v>
      </c>
      <c r="B208" s="2" t="s">
        <v>341</v>
      </c>
      <c r="C208" s="2" t="s">
        <v>299</v>
      </c>
      <c r="D208" s="2" t="s">
        <v>431</v>
      </c>
      <c r="E208" s="6">
        <v>2600</v>
      </c>
      <c r="F208" s="18">
        <v>52929.08</v>
      </c>
      <c r="G208" s="18">
        <v>23368.52</v>
      </c>
      <c r="H208" s="18">
        <f>61617.52-600</f>
        <v>61017.52</v>
      </c>
      <c r="I208" s="18">
        <v>25526.02</v>
      </c>
      <c r="J208" s="18">
        <v>0</v>
      </c>
      <c r="K208" s="18">
        <v>0</v>
      </c>
      <c r="L208" s="13">
        <f t="shared" si="0"/>
        <v>162841.13999999998</v>
      </c>
      <c r="M208" s="8"/>
      <c r="N208" s="164"/>
    </row>
    <row r="209" spans="1:14" s="3" customFormat="1" ht="12.2" customHeight="1" x14ac:dyDescent="0.15">
      <c r="A209" s="1" t="s">
        <v>448</v>
      </c>
      <c r="B209" s="2" t="s">
        <v>341</v>
      </c>
      <c r="C209" s="2" t="s">
        <v>300</v>
      </c>
      <c r="D209" s="2" t="s">
        <v>431</v>
      </c>
      <c r="E209" s="6">
        <v>2700</v>
      </c>
      <c r="F209" s="18">
        <v>0</v>
      </c>
      <c r="G209" s="18">
        <v>0</v>
      </c>
      <c r="H209" s="18">
        <v>49811.1</v>
      </c>
      <c r="I209" s="18">
        <v>0</v>
      </c>
      <c r="J209" s="18">
        <v>0</v>
      </c>
      <c r="K209" s="18">
        <v>0</v>
      </c>
      <c r="L209" s="13">
        <f t="shared" si="0"/>
        <v>49811.1</v>
      </c>
      <c r="M209" s="8"/>
      <c r="N209" s="1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650008.19999999995</v>
      </c>
      <c r="G212" s="38">
        <f t="shared" si="1"/>
        <v>272590.52</v>
      </c>
      <c r="H212" s="38">
        <f t="shared" si="1"/>
        <v>359778.51</v>
      </c>
      <c r="I212" s="38">
        <f t="shared" si="1"/>
        <v>57259.28</v>
      </c>
      <c r="J212" s="38">
        <f t="shared" si="1"/>
        <v>17037.68</v>
      </c>
      <c r="K212" s="38">
        <f t="shared" si="1"/>
        <v>6128.95</v>
      </c>
      <c r="L212" s="38">
        <f t="shared" si="1"/>
        <v>1362803.1400000001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v>349815.03</v>
      </c>
      <c r="I216" s="18"/>
      <c r="J216" s="18"/>
      <c r="K216" s="18"/>
      <c r="L216" s="13">
        <f>SUM(F216:K216)</f>
        <v>349815.03</v>
      </c>
      <c r="M216" s="8"/>
      <c r="N216" s="164"/>
    </row>
    <row r="217" spans="1:14" s="3" customFormat="1" ht="12.2" customHeight="1" x14ac:dyDescent="0.15">
      <c r="A217" s="1" t="s">
        <v>439</v>
      </c>
      <c r="B217" s="2" t="s">
        <v>346</v>
      </c>
      <c r="C217" s="2" t="s">
        <v>291</v>
      </c>
      <c r="D217" s="2" t="s">
        <v>431</v>
      </c>
      <c r="E217" s="6">
        <v>1200</v>
      </c>
      <c r="F217" s="18"/>
      <c r="G217" s="18"/>
      <c r="H217" s="18">
        <v>346517.02</v>
      </c>
      <c r="I217" s="18"/>
      <c r="J217" s="18"/>
      <c r="K217" s="18"/>
      <c r="L217" s="13">
        <f>SUM(F217:K217)</f>
        <v>346517.02</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v>178.5</v>
      </c>
      <c r="G223" s="18">
        <v>13.65</v>
      </c>
      <c r="H223" s="18">
        <v>41801.86</v>
      </c>
      <c r="I223" s="18"/>
      <c r="J223" s="18"/>
      <c r="K223" s="18"/>
      <c r="L223" s="13">
        <f t="shared" si="2"/>
        <v>41994.01</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v>32985</v>
      </c>
      <c r="I227" s="18"/>
      <c r="J227" s="18"/>
      <c r="K227" s="18"/>
      <c r="L227" s="13">
        <f t="shared" si="2"/>
        <v>32985</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178.5</v>
      </c>
      <c r="G230" s="38">
        <f>SUM(G216:G229)</f>
        <v>13.65</v>
      </c>
      <c r="H230" s="38">
        <f>SUM(H216:H229)</f>
        <v>771118.91</v>
      </c>
      <c r="I230" s="38">
        <f>SUM(I216:I229)</f>
        <v>0</v>
      </c>
      <c r="J230" s="38">
        <f>SUM(J216:J229)</f>
        <v>0</v>
      </c>
      <c r="K230" s="38">
        <f t="shared" si="3"/>
        <v>0</v>
      </c>
      <c r="L230" s="38">
        <f t="shared" si="3"/>
        <v>771311.06</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0</v>
      </c>
      <c r="G234" s="18">
        <v>0</v>
      </c>
      <c r="H234" s="18">
        <v>846108.31</v>
      </c>
      <c r="I234" s="18">
        <v>0</v>
      </c>
      <c r="J234" s="18">
        <v>0</v>
      </c>
      <c r="K234" s="18">
        <v>0</v>
      </c>
      <c r="L234" s="13">
        <f>SUM(F234:K234)</f>
        <v>846108.31</v>
      </c>
      <c r="M234" s="8"/>
      <c r="N234" s="164"/>
    </row>
    <row r="235" spans="1:14" s="3" customFormat="1" ht="12.2" customHeight="1" x14ac:dyDescent="0.15">
      <c r="A235" s="1" t="s">
        <v>439</v>
      </c>
      <c r="B235" s="2" t="s">
        <v>350</v>
      </c>
      <c r="C235" s="2" t="s">
        <v>291</v>
      </c>
      <c r="D235" s="2" t="s">
        <v>431</v>
      </c>
      <c r="E235" s="6">
        <v>1200</v>
      </c>
      <c r="F235" s="18">
        <v>0</v>
      </c>
      <c r="G235" s="18">
        <v>0</v>
      </c>
      <c r="H235" s="18">
        <v>360173.2</v>
      </c>
      <c r="I235" s="18">
        <v>0</v>
      </c>
      <c r="J235" s="18">
        <v>0</v>
      </c>
      <c r="K235" s="18">
        <v>0</v>
      </c>
      <c r="L235" s="13">
        <f>SUM(F235:K235)</f>
        <v>360173.2</v>
      </c>
      <c r="M235" s="8"/>
      <c r="N235" s="164"/>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4"/>
    </row>
    <row r="237" spans="1:14" s="3" customFormat="1" ht="12.2" customHeight="1" x14ac:dyDescent="0.15">
      <c r="A237" s="1" t="s">
        <v>441</v>
      </c>
      <c r="B237" s="2" t="s">
        <v>350</v>
      </c>
      <c r="C237" s="2" t="s">
        <v>293</v>
      </c>
      <c r="D237" s="2" t="s">
        <v>431</v>
      </c>
      <c r="E237" s="6">
        <v>1400</v>
      </c>
      <c r="F237" s="18">
        <v>0</v>
      </c>
      <c r="G237" s="18"/>
      <c r="H237" s="18">
        <v>0</v>
      </c>
      <c r="I237" s="18">
        <v>0</v>
      </c>
      <c r="J237" s="18">
        <v>0</v>
      </c>
      <c r="K237" s="18">
        <v>0</v>
      </c>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3">
        <f t="shared" ref="L239:L245" si="4">SUM(F239:K239)</f>
        <v>0</v>
      </c>
      <c r="M239" s="8"/>
      <c r="N239" s="164"/>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4"/>
    </row>
    <row r="241" spans="1:14" s="3" customFormat="1" ht="12.2" customHeight="1" x14ac:dyDescent="0.15">
      <c r="A241" s="1" t="s">
        <v>444</v>
      </c>
      <c r="B241" s="2" t="s">
        <v>350</v>
      </c>
      <c r="C241" s="2" t="s">
        <v>296</v>
      </c>
      <c r="D241" s="2" t="s">
        <v>431</v>
      </c>
      <c r="E241" s="6">
        <v>2300</v>
      </c>
      <c r="F241" s="18">
        <v>420</v>
      </c>
      <c r="G241" s="18">
        <v>32.159999999999997</v>
      </c>
      <c r="H241" s="18">
        <v>42232.43</v>
      </c>
      <c r="I241" s="18">
        <v>0</v>
      </c>
      <c r="J241" s="18">
        <v>0</v>
      </c>
      <c r="K241" s="18">
        <v>0</v>
      </c>
      <c r="L241" s="13">
        <f t="shared" si="4"/>
        <v>42684.590000000004</v>
      </c>
      <c r="M241" s="8"/>
      <c r="N241" s="164"/>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4"/>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4"/>
    </row>
    <row r="245" spans="1:14" s="3" customFormat="1" ht="12.2" customHeight="1" x14ac:dyDescent="0.15">
      <c r="A245" s="1" t="s">
        <v>448</v>
      </c>
      <c r="B245" s="2" t="s">
        <v>350</v>
      </c>
      <c r="C245" s="2" t="s">
        <v>300</v>
      </c>
      <c r="D245" s="2" t="s">
        <v>431</v>
      </c>
      <c r="E245" s="6">
        <v>2700</v>
      </c>
      <c r="F245" s="18">
        <v>0</v>
      </c>
      <c r="G245" s="18">
        <v>0</v>
      </c>
      <c r="H245" s="18">
        <v>48988.7</v>
      </c>
      <c r="I245" s="18">
        <v>0</v>
      </c>
      <c r="J245" s="18">
        <v>0</v>
      </c>
      <c r="K245" s="18">
        <v>0</v>
      </c>
      <c r="L245" s="13">
        <f t="shared" si="4"/>
        <v>48988.7</v>
      </c>
      <c r="M245" s="8"/>
      <c r="N245" s="1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420</v>
      </c>
      <c r="G248" s="38">
        <f t="shared" si="5"/>
        <v>32.159999999999997</v>
      </c>
      <c r="H248" s="38">
        <f t="shared" si="5"/>
        <v>1297502.6399999999</v>
      </c>
      <c r="I248" s="38">
        <f t="shared" si="5"/>
        <v>0</v>
      </c>
      <c r="J248" s="38">
        <f t="shared" si="5"/>
        <v>0</v>
      </c>
      <c r="K248" s="38">
        <f t="shared" si="5"/>
        <v>0</v>
      </c>
      <c r="L248" s="38">
        <f t="shared" si="5"/>
        <v>1297954.8</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0</v>
      </c>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650606.69999999995</v>
      </c>
      <c r="G258" s="38">
        <f t="shared" si="8"/>
        <v>272636.33</v>
      </c>
      <c r="H258" s="38">
        <f t="shared" si="8"/>
        <v>2428400.0599999996</v>
      </c>
      <c r="I258" s="38">
        <f t="shared" si="8"/>
        <v>57259.28</v>
      </c>
      <c r="J258" s="38">
        <f t="shared" si="8"/>
        <v>17037.68</v>
      </c>
      <c r="K258" s="38">
        <f t="shared" si="8"/>
        <v>6128.95</v>
      </c>
      <c r="L258" s="38">
        <f t="shared" si="8"/>
        <v>3432069</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0</v>
      </c>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4"/>
    </row>
    <row r="272" spans="1:14" s="33" customFormat="1" ht="12.2" customHeight="1" thickTop="1" x14ac:dyDescent="0.2">
      <c r="A272" s="40" t="s">
        <v>464</v>
      </c>
      <c r="B272" s="37">
        <v>10</v>
      </c>
      <c r="C272" s="37">
        <v>18</v>
      </c>
      <c r="D272" s="36" t="s">
        <v>431</v>
      </c>
      <c r="E272" s="37"/>
      <c r="F272" s="39">
        <f t="shared" ref="F272:L272" si="11">F258+F271</f>
        <v>650606.69999999995</v>
      </c>
      <c r="G272" s="39">
        <f t="shared" si="11"/>
        <v>272636.33</v>
      </c>
      <c r="H272" s="39">
        <f t="shared" si="11"/>
        <v>2428400.0599999996</v>
      </c>
      <c r="I272" s="39">
        <f t="shared" si="11"/>
        <v>57259.28</v>
      </c>
      <c r="J272" s="39">
        <f t="shared" si="11"/>
        <v>17037.68</v>
      </c>
      <c r="K272" s="39">
        <f t="shared" si="11"/>
        <v>6128.95</v>
      </c>
      <c r="L272" s="39">
        <f t="shared" si="11"/>
        <v>3432069</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39890.65</v>
      </c>
      <c r="G277" s="18">
        <v>12618.54</v>
      </c>
      <c r="H277" s="18">
        <v>0</v>
      </c>
      <c r="I277" s="18">
        <v>11830.9</v>
      </c>
      <c r="J277" s="18">
        <v>0</v>
      </c>
      <c r="K277" s="18">
        <v>2801.33</v>
      </c>
      <c r="L277" s="13">
        <f>SUM(F277:K277)</f>
        <v>67141.42</v>
      </c>
      <c r="M277" s="8"/>
      <c r="N277" s="164"/>
    </row>
    <row r="278" spans="1:14" s="3" customFormat="1" ht="12.2" customHeight="1" x14ac:dyDescent="0.15">
      <c r="A278" s="1" t="s">
        <v>439</v>
      </c>
      <c r="B278" s="2" t="s">
        <v>357</v>
      </c>
      <c r="C278" s="2" t="s">
        <v>291</v>
      </c>
      <c r="D278" s="2" t="s">
        <v>431</v>
      </c>
      <c r="E278" s="6">
        <v>1200</v>
      </c>
      <c r="F278" s="18">
        <v>28603.02</v>
      </c>
      <c r="G278" s="18">
        <v>2144.06</v>
      </c>
      <c r="H278" s="18">
        <v>1386</v>
      </c>
      <c r="I278" s="18">
        <v>2811.44</v>
      </c>
      <c r="J278" s="18">
        <v>0</v>
      </c>
      <c r="K278" s="18">
        <v>0</v>
      </c>
      <c r="L278" s="13">
        <f>SUM(F278:K278)</f>
        <v>34944.520000000004</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3">
        <f t="shared" ref="L282:L288" si="12">SUM(F282:K282)</f>
        <v>0</v>
      </c>
      <c r="M282" s="8"/>
      <c r="N282" s="164"/>
    </row>
    <row r="283" spans="1:14" s="3" customFormat="1" ht="12.2" customHeight="1" x14ac:dyDescent="0.15">
      <c r="A283" s="1" t="s">
        <v>443</v>
      </c>
      <c r="B283" s="2" t="s">
        <v>357</v>
      </c>
      <c r="C283" s="2" t="s">
        <v>295</v>
      </c>
      <c r="D283" s="2" t="s">
        <v>431</v>
      </c>
      <c r="E283" s="6">
        <v>2200</v>
      </c>
      <c r="F283" s="18">
        <v>5211.0200000000004</v>
      </c>
      <c r="G283" s="18">
        <v>805.08</v>
      </c>
      <c r="H283" s="18">
        <v>7606</v>
      </c>
      <c r="I283" s="18">
        <v>0</v>
      </c>
      <c r="J283" s="18">
        <v>0</v>
      </c>
      <c r="K283" s="18">
        <v>0</v>
      </c>
      <c r="L283" s="13">
        <f t="shared" si="12"/>
        <v>13622.1</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3445.11</v>
      </c>
      <c r="L284" s="13">
        <f t="shared" si="12"/>
        <v>3445.11</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0</v>
      </c>
      <c r="G287" s="18">
        <v>0</v>
      </c>
      <c r="H287" s="18">
        <v>0</v>
      </c>
      <c r="I287" s="18">
        <v>0</v>
      </c>
      <c r="J287" s="18">
        <v>15732</v>
      </c>
      <c r="K287" s="18">
        <v>0</v>
      </c>
      <c r="L287" s="13">
        <f t="shared" si="12"/>
        <v>15732</v>
      </c>
      <c r="M287" s="8"/>
      <c r="N287" s="1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73704.69</v>
      </c>
      <c r="G291" s="39">
        <f t="shared" si="13"/>
        <v>15567.68</v>
      </c>
      <c r="H291" s="39">
        <f t="shared" si="13"/>
        <v>8992</v>
      </c>
      <c r="I291" s="39">
        <f t="shared" si="13"/>
        <v>14642.34</v>
      </c>
      <c r="J291" s="39">
        <f t="shared" si="13"/>
        <v>15732</v>
      </c>
      <c r="K291" s="39">
        <f t="shared" si="13"/>
        <v>6246.4400000000005</v>
      </c>
      <c r="L291" s="38">
        <f t="shared" si="13"/>
        <v>134885.15000000002</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v>0</v>
      </c>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73704.69</v>
      </c>
      <c r="G339" s="38">
        <f t="shared" si="20"/>
        <v>15567.68</v>
      </c>
      <c r="H339" s="38">
        <f t="shared" si="20"/>
        <v>8992</v>
      </c>
      <c r="I339" s="38">
        <f t="shared" si="20"/>
        <v>14642.34</v>
      </c>
      <c r="J339" s="38">
        <f t="shared" si="20"/>
        <v>15732</v>
      </c>
      <c r="K339" s="38">
        <f t="shared" si="20"/>
        <v>6246.4400000000005</v>
      </c>
      <c r="L339" s="38">
        <f t="shared" si="20"/>
        <v>134885.15000000002</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73704.69</v>
      </c>
      <c r="G353" s="38">
        <f>G339</f>
        <v>15567.68</v>
      </c>
      <c r="H353" s="38">
        <f>H339</f>
        <v>8992</v>
      </c>
      <c r="I353" s="38">
        <f>I339</f>
        <v>14642.34</v>
      </c>
      <c r="J353" s="38">
        <f>J339</f>
        <v>15732</v>
      </c>
      <c r="K353" s="38">
        <f>K339+K352</f>
        <v>6246.4400000000005</v>
      </c>
      <c r="L353" s="38">
        <f>L339+L352</f>
        <v>134885.15000000002</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29001.7</v>
      </c>
      <c r="G359" s="18">
        <v>2218.71</v>
      </c>
      <c r="H359" s="18">
        <v>0</v>
      </c>
      <c r="I359" s="18">
        <v>18091.86</v>
      </c>
      <c r="J359" s="18">
        <v>4931.6400000000003</v>
      </c>
      <c r="K359" s="18">
        <v>89.6</v>
      </c>
      <c r="L359" s="13">
        <f>SUM(F359:K359)</f>
        <v>54333.51</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29001.7</v>
      </c>
      <c r="G363" s="38">
        <f t="shared" si="22"/>
        <v>2218.71</v>
      </c>
      <c r="H363" s="38">
        <f t="shared" si="22"/>
        <v>0</v>
      </c>
      <c r="I363" s="38">
        <f t="shared" si="22"/>
        <v>18091.86</v>
      </c>
      <c r="J363" s="38">
        <f t="shared" si="22"/>
        <v>4931.6400000000003</v>
      </c>
      <c r="K363" s="38">
        <f t="shared" si="22"/>
        <v>89.6</v>
      </c>
      <c r="L363" s="38">
        <f t="shared" si="22"/>
        <v>54333.51</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16468.650000000001</v>
      </c>
      <c r="G368" s="18"/>
      <c r="H368" s="18"/>
      <c r="I368" s="13">
        <f>SUM(F368:H368)</f>
        <v>16468.650000000001</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1623.21</v>
      </c>
      <c r="G369" s="53"/>
      <c r="H369" s="53"/>
      <c r="I369" s="13">
        <f>SUM(F369:H369)</f>
        <v>1623.21</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18091.86</v>
      </c>
      <c r="G370" s="38">
        <f>SUM(G368:G369)</f>
        <v>0</v>
      </c>
      <c r="H370" s="38">
        <f>SUM(H368:H369)</f>
        <v>0</v>
      </c>
      <c r="I370" s="38">
        <f>SUM(I368:I369)</f>
        <v>18091.86</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v>0</v>
      </c>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0</v>
      </c>
      <c r="H397" s="18">
        <v>7284.92</v>
      </c>
      <c r="I397" s="18"/>
      <c r="J397" s="23" t="s">
        <v>288</v>
      </c>
      <c r="K397" s="23" t="s">
        <v>288</v>
      </c>
      <c r="L397" s="13">
        <f t="shared" si="26"/>
        <v>7284.92</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v>0</v>
      </c>
      <c r="H399" s="18">
        <v>5931.42</v>
      </c>
      <c r="I399" s="18"/>
      <c r="J399" s="23" t="s">
        <v>288</v>
      </c>
      <c r="K399" s="23" t="s">
        <v>288</v>
      </c>
      <c r="L399" s="13">
        <f t="shared" si="26"/>
        <v>5931.42</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13216.34</v>
      </c>
      <c r="I402" s="38">
        <f>SUM(I396:I401)</f>
        <v>0</v>
      </c>
      <c r="J402" s="42" t="s">
        <v>288</v>
      </c>
      <c r="K402" s="42" t="s">
        <v>288</v>
      </c>
      <c r="L402" s="38">
        <f>SUM(L396:L401)</f>
        <v>13216.34</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13216.34</v>
      </c>
      <c r="I409" s="38">
        <f>I394+I402+I408</f>
        <v>0</v>
      </c>
      <c r="J409" s="23" t="s">
        <v>288</v>
      </c>
      <c r="K409" s="23" t="s">
        <v>288</v>
      </c>
      <c r="L409" s="38">
        <f>L394+L402+L408</f>
        <v>13216.34</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v>0</v>
      </c>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v>252260.92</v>
      </c>
      <c r="H440" s="18"/>
      <c r="I440" s="13">
        <f t="shared" ref="I440:I446" si="33">SUM(F440:H440)</f>
        <v>252260.92</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252260.92</v>
      </c>
      <c r="H447" s="13">
        <f>SUM(H440:H446)</f>
        <v>0</v>
      </c>
      <c r="I447" s="13">
        <f>SUM(I440:I446)</f>
        <v>252260.92</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252260.92</v>
      </c>
      <c r="H460" s="18"/>
      <c r="I460" s="13">
        <f t="shared" si="34"/>
        <v>252260.92</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252260.92</v>
      </c>
      <c r="H461" s="65">
        <f>SUM(H455:H460)</f>
        <v>0</v>
      </c>
      <c r="I461" s="65">
        <f>SUM(I455:I460)</f>
        <v>252260.92</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252260.92</v>
      </c>
      <c r="H462" s="39">
        <f>H453+H461</f>
        <v>0</v>
      </c>
      <c r="I462" s="39">
        <f>I453+I461</f>
        <v>252260.92</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01">
        <v>394953.66999999993</v>
      </c>
      <c r="G466" s="101">
        <v>0</v>
      </c>
      <c r="H466" s="101">
        <v>0</v>
      </c>
      <c r="I466" s="101">
        <v>0</v>
      </c>
      <c r="J466" s="101">
        <v>239044.57999999996</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F194</f>
        <v>3352869.6900000004</v>
      </c>
      <c r="G469" s="18">
        <f>G194</f>
        <v>57701.119999999995</v>
      </c>
      <c r="H469" s="18">
        <f>H194</f>
        <v>134885.15</v>
      </c>
      <c r="I469" s="18">
        <f>I194</f>
        <v>0</v>
      </c>
      <c r="J469" s="18">
        <f>L409</f>
        <v>13216.34</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3352869.6900000004</v>
      </c>
      <c r="G471" s="19">
        <f>SUM(G469:G470)</f>
        <v>57701.119999999995</v>
      </c>
      <c r="H471" s="19">
        <f>SUM(H469:H470)</f>
        <v>134885.15</v>
      </c>
      <c r="I471" s="19">
        <f>SUM(I469:I470)</f>
        <v>0</v>
      </c>
      <c r="J471" s="19">
        <f>SUM(J469:J470)</f>
        <v>13216.34</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L272</f>
        <v>3432069</v>
      </c>
      <c r="G473" s="18">
        <f>L363</f>
        <v>54333.51</v>
      </c>
      <c r="H473" s="18">
        <f>L353</f>
        <v>134885.15000000002</v>
      </c>
      <c r="I473" s="18">
        <f>L383</f>
        <v>0</v>
      </c>
      <c r="J473" s="18">
        <f>L435</f>
        <v>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3432069</v>
      </c>
      <c r="G475" s="19">
        <f>SUM(G473:G474)</f>
        <v>54333.51</v>
      </c>
      <c r="H475" s="19">
        <f>SUM(H473:H474)</f>
        <v>134885.15000000002</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315754.36000000034</v>
      </c>
      <c r="G477" s="19">
        <f>(G466+G471)- G475</f>
        <v>3367.6099999999933</v>
      </c>
      <c r="H477" s="19">
        <f>(H466+H471)- H475</f>
        <v>0</v>
      </c>
      <c r="I477" s="19">
        <f>(I466+I471)- I475</f>
        <v>0</v>
      </c>
      <c r="J477" s="19">
        <f>(J466+J471)- J475</f>
        <v>252260.91999999995</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v>0</v>
      </c>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153243.59</v>
      </c>
      <c r="G522" s="18">
        <v>52108.69</v>
      </c>
      <c r="H522" s="18">
        <v>29253.119999999999</v>
      </c>
      <c r="I522" s="18">
        <v>3763.94</v>
      </c>
      <c r="J522" s="18">
        <v>0</v>
      </c>
      <c r="K522" s="18">
        <v>301.60000000000002</v>
      </c>
      <c r="L522" s="69">
        <f>SUM(F522:K522)</f>
        <v>238670.94</v>
      </c>
      <c r="N522" s="130"/>
    </row>
    <row r="523" spans="1:14" ht="12.2" customHeight="1" x14ac:dyDescent="0.2">
      <c r="A523" s="21" t="s">
        <v>634</v>
      </c>
      <c r="B523" s="22">
        <v>21</v>
      </c>
      <c r="C523" s="22">
        <v>2</v>
      </c>
      <c r="D523" s="2" t="s">
        <v>432</v>
      </c>
      <c r="E523" s="22"/>
      <c r="F523" s="18">
        <v>0</v>
      </c>
      <c r="G523" s="18">
        <v>0</v>
      </c>
      <c r="H523" s="18">
        <v>346517.02</v>
      </c>
      <c r="I523" s="18">
        <v>0</v>
      </c>
      <c r="J523" s="18"/>
      <c r="K523" s="18">
        <v>0</v>
      </c>
      <c r="L523" s="69">
        <f>SUM(F523:K523)</f>
        <v>346517.02</v>
      </c>
      <c r="N523" s="130"/>
    </row>
    <row r="524" spans="1:14" ht="12.2" customHeight="1" thickBot="1" x14ac:dyDescent="0.25">
      <c r="A524" s="21" t="s">
        <v>635</v>
      </c>
      <c r="B524" s="22">
        <v>21</v>
      </c>
      <c r="C524" s="22">
        <v>3</v>
      </c>
      <c r="D524" s="2" t="s">
        <v>432</v>
      </c>
      <c r="E524" s="22"/>
      <c r="F524" s="18">
        <v>0</v>
      </c>
      <c r="G524" s="18">
        <v>0</v>
      </c>
      <c r="H524" s="18">
        <v>360173.2</v>
      </c>
      <c r="I524" s="18">
        <v>0</v>
      </c>
      <c r="J524" s="18">
        <v>0</v>
      </c>
      <c r="K524" s="18">
        <v>0</v>
      </c>
      <c r="L524" s="69">
        <f>SUM(F524:K524)</f>
        <v>360173.2</v>
      </c>
      <c r="N524" s="130"/>
    </row>
    <row r="525" spans="1:14" ht="12.2" customHeight="1" thickTop="1" x14ac:dyDescent="0.2">
      <c r="A525" s="97" t="s">
        <v>63</v>
      </c>
      <c r="B525" s="41">
        <v>21</v>
      </c>
      <c r="C525" s="41">
        <v>4</v>
      </c>
      <c r="D525" s="115" t="s">
        <v>432</v>
      </c>
      <c r="E525" s="41"/>
      <c r="F525" s="81">
        <f>SUM(F522:F524)</f>
        <v>153243.59</v>
      </c>
      <c r="G525" s="81">
        <f t="shared" ref="G525:L525" si="36">SUM(G522:G524)</f>
        <v>52108.69</v>
      </c>
      <c r="H525" s="81">
        <f t="shared" si="36"/>
        <v>735943.34000000008</v>
      </c>
      <c r="I525" s="81">
        <f t="shared" si="36"/>
        <v>3763.94</v>
      </c>
      <c r="J525" s="81">
        <f t="shared" si="36"/>
        <v>0</v>
      </c>
      <c r="K525" s="81">
        <f t="shared" si="36"/>
        <v>301.60000000000002</v>
      </c>
      <c r="L525" s="70">
        <f t="shared" si="36"/>
        <v>945361.15999999992</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0</v>
      </c>
      <c r="G527" s="18">
        <v>0</v>
      </c>
      <c r="H527" s="18">
        <v>90044.6</v>
      </c>
      <c r="I527" s="18">
        <v>199.38</v>
      </c>
      <c r="J527" s="18">
        <v>0</v>
      </c>
      <c r="K527" s="18">
        <v>0</v>
      </c>
      <c r="L527" s="69">
        <f>SUM(F527:K527)</f>
        <v>90243.98000000001</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v>0</v>
      </c>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90044.6</v>
      </c>
      <c r="I530" s="70">
        <f t="shared" si="37"/>
        <v>199.38</v>
      </c>
      <c r="J530" s="70">
        <f t="shared" si="37"/>
        <v>0</v>
      </c>
      <c r="K530" s="70">
        <f t="shared" si="37"/>
        <v>0</v>
      </c>
      <c r="L530" s="70">
        <f t="shared" si="37"/>
        <v>90243.98000000001</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f>154373*0.1005</f>
        <v>15514.486500000001</v>
      </c>
      <c r="G532" s="18">
        <f>101532.73*0.1005</f>
        <v>10204.039365000001</v>
      </c>
      <c r="H532" s="18"/>
      <c r="I532" s="18"/>
      <c r="J532" s="18"/>
      <c r="K532" s="18"/>
      <c r="L532" s="69">
        <f>SUM(F532:K532)</f>
        <v>25718.525865000003</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15514.486500000001</v>
      </c>
      <c r="G535" s="70">
        <f t="shared" ref="G535:L535" si="38">SUM(G532:G534)</f>
        <v>10204.039365000001</v>
      </c>
      <c r="H535" s="70">
        <f t="shared" si="38"/>
        <v>0</v>
      </c>
      <c r="I535" s="70">
        <f t="shared" si="38"/>
        <v>0</v>
      </c>
      <c r="J535" s="70">
        <f t="shared" si="38"/>
        <v>0</v>
      </c>
      <c r="K535" s="70">
        <f t="shared" si="38"/>
        <v>0</v>
      </c>
      <c r="L535" s="70">
        <f t="shared" si="38"/>
        <v>25718.525865000003</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828.47</v>
      </c>
      <c r="I537" s="18"/>
      <c r="J537" s="18"/>
      <c r="K537" s="18"/>
      <c r="L537" s="69">
        <f>SUM(F537:K537)</f>
        <v>828.47</v>
      </c>
      <c r="M537" s="8"/>
      <c r="N537" s="164"/>
    </row>
    <row r="538" spans="1:14" s="3" customFormat="1" ht="12.2" customHeight="1" x14ac:dyDescent="0.15">
      <c r="A538" s="21" t="s">
        <v>634</v>
      </c>
      <c r="B538" s="22">
        <v>21</v>
      </c>
      <c r="C538" s="22">
        <v>14</v>
      </c>
      <c r="D538" s="2" t="s">
        <v>432</v>
      </c>
      <c r="E538" s="22"/>
      <c r="F538" s="18"/>
      <c r="G538" s="18"/>
      <c r="H538" s="18">
        <v>142.16</v>
      </c>
      <c r="I538" s="18"/>
      <c r="J538" s="18"/>
      <c r="K538" s="18"/>
      <c r="L538" s="69">
        <f>SUM(F538:K538)</f>
        <v>142.16</v>
      </c>
      <c r="M538" s="8"/>
      <c r="N538" s="164"/>
    </row>
    <row r="539" spans="1:14" s="3" customFormat="1" ht="12.2" customHeight="1" thickBot="1" x14ac:dyDescent="0.2">
      <c r="A539" s="21" t="s">
        <v>635</v>
      </c>
      <c r="B539" s="22">
        <v>21</v>
      </c>
      <c r="C539" s="22">
        <v>15</v>
      </c>
      <c r="D539" s="2" t="s">
        <v>432</v>
      </c>
      <c r="E539" s="22"/>
      <c r="F539" s="18"/>
      <c r="G539" s="18"/>
      <c r="H539" s="18">
        <v>262.2</v>
      </c>
      <c r="I539" s="18"/>
      <c r="J539" s="18"/>
      <c r="K539" s="18"/>
      <c r="L539" s="69">
        <f>SUM(F539:K539)</f>
        <v>262.2</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1232.83</v>
      </c>
      <c r="I540" s="70">
        <f t="shared" si="39"/>
        <v>0</v>
      </c>
      <c r="J540" s="70">
        <f t="shared" si="39"/>
        <v>0</v>
      </c>
      <c r="K540" s="70">
        <f t="shared" si="39"/>
        <v>0</v>
      </c>
      <c r="L540" s="70">
        <f t="shared" si="39"/>
        <v>1232.83</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0</v>
      </c>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v>8492</v>
      </c>
      <c r="I543" s="18"/>
      <c r="J543" s="18"/>
      <c r="K543" s="18"/>
      <c r="L543" s="69">
        <f>SUM(F543:K543)</f>
        <v>8492</v>
      </c>
      <c r="M543" s="8"/>
      <c r="N543" s="164"/>
    </row>
    <row r="544" spans="1:14" s="3" customFormat="1" ht="12.2" customHeight="1" thickBot="1" x14ac:dyDescent="0.2">
      <c r="A544" s="21" t="s">
        <v>635</v>
      </c>
      <c r="B544" s="22">
        <v>21</v>
      </c>
      <c r="C544" s="22">
        <v>19</v>
      </c>
      <c r="D544" s="2" t="s">
        <v>432</v>
      </c>
      <c r="E544" s="22"/>
      <c r="F544" s="18"/>
      <c r="G544" s="18"/>
      <c r="H544" s="18">
        <v>24496</v>
      </c>
      <c r="I544" s="18"/>
      <c r="J544" s="18"/>
      <c r="K544" s="18"/>
      <c r="L544" s="69">
        <f>SUM(F544:K544)</f>
        <v>24496</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32988</v>
      </c>
      <c r="I545" s="140">
        <f t="shared" si="40"/>
        <v>0</v>
      </c>
      <c r="J545" s="140">
        <f t="shared" si="40"/>
        <v>0</v>
      </c>
      <c r="K545" s="140">
        <f t="shared" si="40"/>
        <v>0</v>
      </c>
      <c r="L545" s="140">
        <f t="shared" si="40"/>
        <v>32988</v>
      </c>
      <c r="M545" s="8"/>
      <c r="N545" s="164"/>
    </row>
    <row r="546" spans="1:14" s="3" customFormat="1" ht="12.2" customHeight="1" thickTop="1" x14ac:dyDescent="0.15">
      <c r="A546" s="75" t="s">
        <v>72</v>
      </c>
      <c r="B546" s="41">
        <v>21</v>
      </c>
      <c r="C546" s="41">
        <v>21</v>
      </c>
      <c r="D546" s="115" t="s">
        <v>432</v>
      </c>
      <c r="E546" s="41"/>
      <c r="F546" s="70">
        <f>F525+F530+F535+F540+F545</f>
        <v>168758.0765</v>
      </c>
      <c r="G546" s="70">
        <f t="shared" ref="G546:L546" si="41">G525+G530+G535+G540+G545</f>
        <v>62312.729365000007</v>
      </c>
      <c r="H546" s="70">
        <f t="shared" si="41"/>
        <v>860208.77</v>
      </c>
      <c r="I546" s="70">
        <f t="shared" si="41"/>
        <v>3963.32</v>
      </c>
      <c r="J546" s="70">
        <f t="shared" si="41"/>
        <v>0</v>
      </c>
      <c r="K546" s="70">
        <f t="shared" si="41"/>
        <v>301.60000000000002</v>
      </c>
      <c r="L546" s="70">
        <f t="shared" si="41"/>
        <v>1095544.4958649999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238670.94</v>
      </c>
      <c r="G550" s="69">
        <f>L527</f>
        <v>90243.98000000001</v>
      </c>
      <c r="H550" s="69">
        <f>L532</f>
        <v>25718.525865000003</v>
      </c>
      <c r="I550" s="69">
        <f>L537</f>
        <v>828.47</v>
      </c>
      <c r="J550" s="69">
        <f>L542</f>
        <v>0</v>
      </c>
      <c r="K550" s="69">
        <f>SUM(F550:J550)</f>
        <v>355461.91586499999</v>
      </c>
      <c r="L550" s="23" t="s">
        <v>288</v>
      </c>
      <c r="M550" s="8"/>
      <c r="N550" s="164"/>
    </row>
    <row r="551" spans="1:14" s="3" customFormat="1" ht="12.2" customHeight="1" x14ac:dyDescent="0.15">
      <c r="A551" s="21" t="s">
        <v>634</v>
      </c>
      <c r="B551" s="22">
        <v>21</v>
      </c>
      <c r="C551" s="22">
        <v>23</v>
      </c>
      <c r="D551" s="2" t="s">
        <v>432</v>
      </c>
      <c r="E551" s="22"/>
      <c r="F551" s="69">
        <f>L523</f>
        <v>346517.02</v>
      </c>
      <c r="G551" s="69">
        <f>L528</f>
        <v>0</v>
      </c>
      <c r="H551" s="69">
        <f>L533</f>
        <v>0</v>
      </c>
      <c r="I551" s="69">
        <f>L538</f>
        <v>142.16</v>
      </c>
      <c r="J551" s="69">
        <f>L543</f>
        <v>8492</v>
      </c>
      <c r="K551" s="69">
        <f>SUM(F551:J551)</f>
        <v>355151.18</v>
      </c>
      <c r="L551" s="23" t="s">
        <v>288</v>
      </c>
      <c r="M551" s="8"/>
      <c r="N551" s="164"/>
    </row>
    <row r="552" spans="1:14" s="3" customFormat="1" ht="12.2" customHeight="1" thickBot="1" x14ac:dyDescent="0.2">
      <c r="A552" s="21" t="s">
        <v>635</v>
      </c>
      <c r="B552" s="22">
        <v>21</v>
      </c>
      <c r="C552" s="22">
        <v>24</v>
      </c>
      <c r="D552" s="2" t="s">
        <v>432</v>
      </c>
      <c r="E552" s="22"/>
      <c r="F552" s="69">
        <f>L524</f>
        <v>360173.2</v>
      </c>
      <c r="G552" s="69">
        <f>L529</f>
        <v>0</v>
      </c>
      <c r="H552" s="69">
        <f>L534</f>
        <v>0</v>
      </c>
      <c r="I552" s="69">
        <f>L539</f>
        <v>262.2</v>
      </c>
      <c r="J552" s="69">
        <f>L544</f>
        <v>24496</v>
      </c>
      <c r="K552" s="69">
        <f>SUM(F552:J552)</f>
        <v>384931.4</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945361.15999999992</v>
      </c>
      <c r="G553" s="70">
        <f t="shared" si="42"/>
        <v>90243.98000000001</v>
      </c>
      <c r="H553" s="70">
        <f t="shared" si="42"/>
        <v>25718.525865000003</v>
      </c>
      <c r="I553" s="70">
        <f t="shared" si="42"/>
        <v>1232.83</v>
      </c>
      <c r="J553" s="70">
        <f t="shared" si="42"/>
        <v>32988</v>
      </c>
      <c r="K553" s="70">
        <f t="shared" si="42"/>
        <v>1095544.4958649999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v>696332.05</v>
      </c>
      <c r="H576" s="18">
        <v>1164490.3500000001</v>
      </c>
      <c r="I576" s="69">
        <f>SUM(F576:H576)</f>
        <v>1860822.4000000001</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660</v>
      </c>
      <c r="G579" s="18">
        <v>41791.160000000003</v>
      </c>
      <c r="H579" s="18"/>
      <c r="I579" s="69">
        <f t="shared" si="47"/>
        <v>42451.16</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660</v>
      </c>
      <c r="G589" s="79">
        <f t="shared" ref="G589:I589" si="48">SUM(G576:G588)</f>
        <v>738123.21000000008</v>
      </c>
      <c r="H589" s="79">
        <f t="shared" si="48"/>
        <v>1164490.3500000001</v>
      </c>
      <c r="I589" s="79">
        <f t="shared" si="48"/>
        <v>1903273.56</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48986</v>
      </c>
      <c r="I592" s="18">
        <v>24493</v>
      </c>
      <c r="J592" s="18">
        <v>24492.7</v>
      </c>
      <c r="K592" s="80">
        <f t="shared" ref="K592:K598" si="49">SUM(H592:J592)</f>
        <v>97971.7</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v>8492</v>
      </c>
      <c r="J593" s="18">
        <v>24496</v>
      </c>
      <c r="K593" s="80">
        <f t="shared" si="49"/>
        <v>32988</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825.1</v>
      </c>
      <c r="I596" s="18"/>
      <c r="J596" s="18"/>
      <c r="K596" s="80">
        <f t="shared" si="49"/>
        <v>825.1</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49811.1</v>
      </c>
      <c r="I599" s="81">
        <f>SUM(I592:I598)</f>
        <v>32985</v>
      </c>
      <c r="J599" s="81">
        <f>SUM(J592:J598)</f>
        <v>48988.7</v>
      </c>
      <c r="K599" s="81">
        <f>SUM(K592:K598)</f>
        <v>131784.79999999999</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32769.68</v>
      </c>
      <c r="I605" s="18"/>
      <c r="J605" s="18"/>
      <c r="K605" s="80">
        <f>SUM(H605:J605)</f>
        <v>32769.68</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32769.68</v>
      </c>
      <c r="I606" s="81">
        <f>SUM(I603:I605)</f>
        <v>0</v>
      </c>
      <c r="J606" s="81">
        <f>SUM(J603:J605)</f>
        <v>0</v>
      </c>
      <c r="K606" s="81">
        <f>SUM(K603:K605)</f>
        <v>32769.68</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362170.79</v>
      </c>
      <c r="H618" s="80">
        <f>SUM(F52)</f>
        <v>362170.79</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486.04</v>
      </c>
      <c r="H619" s="80">
        <f>SUM(G52)</f>
        <v>486.03999999999996</v>
      </c>
      <c r="I619" s="87" t="s">
        <v>872</v>
      </c>
      <c r="J619" s="80">
        <f>G619-H619</f>
        <v>0</v>
      </c>
      <c r="K619" s="80"/>
      <c r="L619" s="80"/>
      <c r="M619" s="8"/>
    </row>
    <row r="620" spans="1:14" s="3" customFormat="1" ht="12.2" customHeight="1" x14ac:dyDescent="0.15">
      <c r="A620" s="74"/>
      <c r="B620" s="22"/>
      <c r="C620" s="22"/>
      <c r="D620" s="22"/>
      <c r="E620" s="22"/>
      <c r="F620" s="87" t="s">
        <v>685</v>
      </c>
      <c r="G620" s="80">
        <f>SUM(H19)</f>
        <v>36157.51</v>
      </c>
      <c r="H620" s="80">
        <f>SUM(H52)</f>
        <v>36157.51</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252260.92</v>
      </c>
      <c r="H622" s="80">
        <f>SUM(J52)</f>
        <v>252260.92</v>
      </c>
      <c r="I622" s="87" t="s">
        <v>875</v>
      </c>
      <c r="J622" s="80">
        <f>G622-H622</f>
        <v>0</v>
      </c>
      <c r="K622" s="80"/>
      <c r="L622" s="80"/>
      <c r="M622" s="8"/>
    </row>
    <row r="623" spans="1:14" s="3" customFormat="1" ht="12.2" customHeight="1" x14ac:dyDescent="0.15">
      <c r="A623" s="74"/>
      <c r="B623" s="22"/>
      <c r="C623" s="22"/>
      <c r="D623" s="22"/>
      <c r="E623" s="22"/>
      <c r="F623" s="87" t="s">
        <v>861</v>
      </c>
      <c r="G623" s="80">
        <f>F51</f>
        <v>315754.36</v>
      </c>
      <c r="H623" s="80">
        <f>F477</f>
        <v>315754.36000000034</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3367.61</v>
      </c>
      <c r="H624" s="80">
        <f>G477</f>
        <v>3367.6099999999933</v>
      </c>
      <c r="I624" s="87" t="s">
        <v>102</v>
      </c>
      <c r="J624" s="80">
        <f t="shared" si="51"/>
        <v>6.8212102632969618E-12</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252260.92</v>
      </c>
      <c r="H627" s="80">
        <f>J477</f>
        <v>252260.91999999995</v>
      </c>
      <c r="I627" s="87" t="s">
        <v>105</v>
      </c>
      <c r="J627" s="80">
        <f t="shared" si="51"/>
        <v>0</v>
      </c>
      <c r="K627" s="67"/>
      <c r="L627" s="69"/>
      <c r="M627" s="8"/>
    </row>
    <row r="628" spans="1:13" s="3" customFormat="1" ht="12.2" customHeight="1" x14ac:dyDescent="0.15">
      <c r="A628" s="21"/>
      <c r="B628" s="22"/>
      <c r="C628" s="22"/>
      <c r="D628" s="22"/>
      <c r="E628" s="22"/>
      <c r="F628" s="86" t="s">
        <v>658</v>
      </c>
      <c r="G628" s="80">
        <f>F194</f>
        <v>3352869.6900000004</v>
      </c>
      <c r="H628" s="80">
        <f>SUM(F469)</f>
        <v>3352869.6900000004</v>
      </c>
      <c r="I628" s="87" t="s">
        <v>106</v>
      </c>
      <c r="J628" s="80">
        <f>G628-H628</f>
        <v>0</v>
      </c>
      <c r="K628" s="67"/>
      <c r="L628" s="69"/>
      <c r="M628" s="8"/>
    </row>
    <row r="629" spans="1:13" s="3" customFormat="1" ht="12.2" customHeight="1" x14ac:dyDescent="0.15">
      <c r="A629" s="21"/>
      <c r="B629" s="22"/>
      <c r="C629" s="22"/>
      <c r="D629" s="22"/>
      <c r="E629" s="22"/>
      <c r="F629" s="86" t="s">
        <v>659</v>
      </c>
      <c r="G629" s="80">
        <f>G194</f>
        <v>57701.119999999995</v>
      </c>
      <c r="H629" s="80">
        <f>SUM(G469)</f>
        <v>57701.119999999995</v>
      </c>
      <c r="I629" s="87" t="s">
        <v>107</v>
      </c>
      <c r="J629" s="80">
        <f>G629-H629</f>
        <v>0</v>
      </c>
      <c r="K629" s="67"/>
      <c r="L629" s="69"/>
      <c r="M629" s="8"/>
    </row>
    <row r="630" spans="1:13" s="3" customFormat="1" ht="12.2" customHeight="1" x14ac:dyDescent="0.15">
      <c r="A630" s="21"/>
      <c r="B630" s="22"/>
      <c r="C630" s="22"/>
      <c r="D630" s="22"/>
      <c r="E630" s="22"/>
      <c r="F630" s="86" t="s">
        <v>660</v>
      </c>
      <c r="G630" s="80">
        <f>H194</f>
        <v>134885.15</v>
      </c>
      <c r="H630" s="80">
        <f>SUM(H469)</f>
        <v>134885.15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13216.34</v>
      </c>
      <c r="H632" s="80">
        <f>SUM(J469)</f>
        <v>13216.34</v>
      </c>
      <c r="I632" s="87" t="s">
        <v>110</v>
      </c>
      <c r="J632" s="80">
        <f>G632-H632</f>
        <v>0</v>
      </c>
      <c r="K632" s="67"/>
      <c r="L632" s="69"/>
      <c r="M632" s="8"/>
    </row>
    <row r="633" spans="1:13" s="3" customFormat="1" ht="12.2" customHeight="1" x14ac:dyDescent="0.15">
      <c r="A633" s="21"/>
      <c r="B633" s="22"/>
      <c r="C633" s="22"/>
      <c r="D633" s="22"/>
      <c r="E633" s="22"/>
      <c r="F633" s="86" t="s">
        <v>394</v>
      </c>
      <c r="G633" s="80">
        <f>SUM(L272)</f>
        <v>3432069</v>
      </c>
      <c r="H633" s="80">
        <f>SUM(F473)</f>
        <v>3432069</v>
      </c>
      <c r="I633" s="87" t="s">
        <v>111</v>
      </c>
      <c r="J633" s="80">
        <f t="shared" si="51"/>
        <v>0</v>
      </c>
      <c r="K633" s="67"/>
      <c r="L633" s="69"/>
      <c r="M633" s="8"/>
    </row>
    <row r="634" spans="1:13" s="3" customFormat="1" ht="12.2" customHeight="1" x14ac:dyDescent="0.15">
      <c r="A634" s="21"/>
      <c r="B634" s="22"/>
      <c r="C634" s="22"/>
      <c r="D634" s="22"/>
      <c r="E634" s="22"/>
      <c r="F634" s="86" t="s">
        <v>395</v>
      </c>
      <c r="G634" s="80">
        <f>SUM(L353)</f>
        <v>134885.15000000002</v>
      </c>
      <c r="H634" s="80">
        <f>SUM(H473)</f>
        <v>134885.15000000002</v>
      </c>
      <c r="I634" s="87" t="s">
        <v>112</v>
      </c>
      <c r="J634" s="80">
        <f>G634-H634</f>
        <v>0</v>
      </c>
      <c r="K634" s="67"/>
      <c r="L634" s="69"/>
      <c r="M634" s="8"/>
    </row>
    <row r="635" spans="1:13" s="124" customFormat="1" ht="12.2" customHeight="1" x14ac:dyDescent="0.15">
      <c r="A635" s="21"/>
      <c r="B635" s="22"/>
      <c r="C635" s="22"/>
      <c r="D635" s="22"/>
      <c r="E635" s="22"/>
      <c r="F635" s="99" t="s">
        <v>247</v>
      </c>
      <c r="G635" s="80">
        <f>I363</f>
        <v>18091.86</v>
      </c>
      <c r="H635" s="80">
        <f>I370</f>
        <v>18091.86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54333.51</v>
      </c>
      <c r="H636" s="80">
        <f>SUM(G473)</f>
        <v>54333.51</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13216.34</v>
      </c>
      <c r="H638" s="108">
        <f>SUM(J469)</f>
        <v>13216.34</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252260.92</v>
      </c>
      <c r="H641" s="80">
        <f>SUM(G462)</f>
        <v>252260.92</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252260.92</v>
      </c>
      <c r="H643" s="80">
        <f>SUM(I462)</f>
        <v>252260.92</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13216.34</v>
      </c>
      <c r="H645" s="80">
        <f>H409</f>
        <v>13216.34</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13216.34</v>
      </c>
      <c r="H647" s="80">
        <f>L409</f>
        <v>13216.34</v>
      </c>
      <c r="I647" s="87" t="s">
        <v>477</v>
      </c>
      <c r="J647" s="80">
        <f t="shared" si="51"/>
        <v>0</v>
      </c>
      <c r="K647" s="67"/>
      <c r="L647" s="69"/>
      <c r="M647" s="8"/>
    </row>
    <row r="648" spans="1:13" s="3" customFormat="1" ht="12.2" customHeight="1" x14ac:dyDescent="0.15">
      <c r="A648" s="21"/>
      <c r="B648" s="22"/>
      <c r="C648" s="22"/>
      <c r="D648" s="22"/>
      <c r="E648" s="22"/>
      <c r="F648" s="86" t="s">
        <v>51</v>
      </c>
      <c r="G648" s="80">
        <f>K599</f>
        <v>131784.79999999999</v>
      </c>
      <c r="H648" s="80">
        <f>L209+L227+L245</f>
        <v>131784.79999999999</v>
      </c>
      <c r="I648" s="87" t="s">
        <v>396</v>
      </c>
      <c r="J648" s="80">
        <f t="shared" si="51"/>
        <v>0</v>
      </c>
      <c r="K648" s="67"/>
      <c r="L648" s="69"/>
      <c r="M648" s="8"/>
    </row>
    <row r="649" spans="1:13" s="3" customFormat="1" ht="12.2" customHeight="1" x14ac:dyDescent="0.15">
      <c r="A649" s="21"/>
      <c r="B649" s="22"/>
      <c r="C649" s="22"/>
      <c r="D649" s="22"/>
      <c r="E649" s="22"/>
      <c r="F649" s="86" t="s">
        <v>52</v>
      </c>
      <c r="G649" s="80">
        <f>K606</f>
        <v>32769.68</v>
      </c>
      <c r="H649" s="80">
        <f>(J258+J339)-(J256+J337)</f>
        <v>32769.68</v>
      </c>
      <c r="I649" s="87" t="s">
        <v>699</v>
      </c>
      <c r="J649" s="80">
        <f t="shared" si="51"/>
        <v>0</v>
      </c>
      <c r="K649" s="67"/>
      <c r="L649" s="69"/>
      <c r="M649" s="8"/>
    </row>
    <row r="650" spans="1:13" s="3" customFormat="1" ht="12.2" customHeight="1" x14ac:dyDescent="0.15">
      <c r="A650" s="21"/>
      <c r="B650" s="22"/>
      <c r="C650" s="22"/>
      <c r="D650" s="22"/>
      <c r="E650" s="22"/>
      <c r="F650" s="86" t="s">
        <v>387</v>
      </c>
      <c r="G650" s="80">
        <f>L209</f>
        <v>49811.1</v>
      </c>
      <c r="H650" s="80">
        <f>H599</f>
        <v>49811.1</v>
      </c>
      <c r="I650" s="87" t="s">
        <v>388</v>
      </c>
      <c r="J650" s="80">
        <f t="shared" si="51"/>
        <v>0</v>
      </c>
      <c r="K650" s="67"/>
      <c r="L650" s="69"/>
      <c r="M650" s="8"/>
    </row>
    <row r="651" spans="1:13" s="3" customFormat="1" ht="12.2" customHeight="1" x14ac:dyDescent="0.15">
      <c r="A651" s="21"/>
      <c r="B651" s="22"/>
      <c r="C651" s="22"/>
      <c r="D651" s="22"/>
      <c r="E651" s="22"/>
      <c r="F651" s="86" t="s">
        <v>392</v>
      </c>
      <c r="G651" s="80">
        <f>L227</f>
        <v>32985</v>
      </c>
      <c r="H651" s="80">
        <f>I599</f>
        <v>32985</v>
      </c>
      <c r="I651" s="87" t="s">
        <v>389</v>
      </c>
      <c r="J651" s="80">
        <f t="shared" si="51"/>
        <v>0</v>
      </c>
      <c r="K651" s="67"/>
      <c r="L651" s="69"/>
      <c r="M651" s="8"/>
    </row>
    <row r="652" spans="1:13" s="3" customFormat="1" ht="12.2" customHeight="1" x14ac:dyDescent="0.15">
      <c r="A652" s="21"/>
      <c r="B652" s="22"/>
      <c r="C652" s="22"/>
      <c r="D652" s="22"/>
      <c r="E652" s="22"/>
      <c r="F652" s="86" t="s">
        <v>393</v>
      </c>
      <c r="G652" s="80">
        <f>L245</f>
        <v>48988.7</v>
      </c>
      <c r="H652" s="80">
        <f>J599</f>
        <v>48988.7</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1552021.8</v>
      </c>
      <c r="G661" s="13">
        <f>(L230+L310+L360)</f>
        <v>771311.06</v>
      </c>
      <c r="H661" s="13">
        <f>(L248+L329+L361)</f>
        <v>1297954.8</v>
      </c>
      <c r="I661" s="13">
        <f>SUM(F661:H661)</f>
        <v>3621287.66</v>
      </c>
      <c r="J661" s="13"/>
      <c r="K661" s="13"/>
      <c r="L661" s="13"/>
      <c r="M661" s="9"/>
    </row>
    <row r="662" spans="1:13" s="3" customFormat="1" ht="12.2" customHeight="1" x14ac:dyDescent="0.2">
      <c r="A662" s="1" t="s">
        <v>127</v>
      </c>
      <c r="F662" s="13">
        <f>(L359/IF(SUM(L359:L361)=0,1,SUM(L359:L361))*(SUM(G97:G110)))</f>
        <v>11068.6</v>
      </c>
      <c r="G662" s="13">
        <f>(L360/IF(SUM(L359:L361)=0,1,SUM(L359:L361))*(SUM(G97:G110)))</f>
        <v>0</v>
      </c>
      <c r="H662" s="13">
        <f>(L361/IF(SUM(L359:L361)=0,1,SUM(L359:L361))*(SUM(G97:G110)))</f>
        <v>0</v>
      </c>
      <c r="I662" s="13">
        <f>SUM(F662:H662)</f>
        <v>11068.6</v>
      </c>
      <c r="J662"/>
      <c r="K662" s="13"/>
      <c r="L662" s="13"/>
      <c r="M662" s="8"/>
    </row>
    <row r="663" spans="1:13" s="3" customFormat="1" ht="12.2" customHeight="1" x14ac:dyDescent="0.2">
      <c r="A663" s="1" t="s">
        <v>128</v>
      </c>
      <c r="F663" s="13">
        <f>(L209+L288)-(J209+J288)</f>
        <v>49811.1</v>
      </c>
      <c r="G663" s="13">
        <f>(L227+L307)-(J227+J307)</f>
        <v>32985</v>
      </c>
      <c r="H663" s="13">
        <f>(L245+L326)-(J245+J326)</f>
        <v>48988.7</v>
      </c>
      <c r="I663" s="13">
        <f>SUM(F663:H663)</f>
        <v>131784.79999999999</v>
      </c>
      <c r="J663"/>
      <c r="K663" s="13"/>
      <c r="L663" s="13"/>
      <c r="M663" s="9"/>
    </row>
    <row r="664" spans="1:13" s="3" customFormat="1" ht="12.2" customHeight="1" x14ac:dyDescent="0.15">
      <c r="A664" s="141" t="s">
        <v>129</v>
      </c>
      <c r="B664" s="124"/>
      <c r="C664" s="124"/>
      <c r="D664" s="124"/>
      <c r="E664" s="124"/>
      <c r="F664" s="142">
        <f>SUM(F576:F588)+SUM(H603:H605)+SUM(L612)</f>
        <v>33429.68</v>
      </c>
      <c r="G664" s="142">
        <f>SUM(G576:G588)+SUM(I603:I605)+L613</f>
        <v>738123.21000000008</v>
      </c>
      <c r="H664" s="142">
        <f>SUM(H576:H588)+SUM(J603:J605)+L614</f>
        <v>1164490.3500000001</v>
      </c>
      <c r="I664" s="13">
        <f>SUM(F664:H664)</f>
        <v>1936043.2400000002</v>
      </c>
      <c r="J664" s="13"/>
      <c r="K664" s="13"/>
      <c r="L664" s="13"/>
      <c r="M664" s="9"/>
    </row>
    <row r="665" spans="1:13" s="3" customFormat="1" ht="12.2" customHeight="1" x14ac:dyDescent="0.15">
      <c r="A665" s="1" t="s">
        <v>130</v>
      </c>
      <c r="F665" s="13">
        <f>F661-SUM(F662:F664)</f>
        <v>1457712.42</v>
      </c>
      <c r="G665" s="13">
        <f>G661-SUM(G662:G664)</f>
        <v>202.84999999997672</v>
      </c>
      <c r="H665" s="13">
        <f>H661-SUM(H662:H664)</f>
        <v>84475.75</v>
      </c>
      <c r="I665" s="13">
        <f>I661-SUM(I662:I664)</f>
        <v>1542391.02</v>
      </c>
      <c r="J665" s="13"/>
      <c r="K665" s="13"/>
      <c r="L665" s="13"/>
      <c r="M665" s="8"/>
    </row>
    <row r="666" spans="1:13" s="3" customFormat="1" ht="12.2" customHeight="1" x14ac:dyDescent="0.2">
      <c r="A666" s="1" t="s">
        <v>131</v>
      </c>
      <c r="F666" s="182">
        <v>53.48</v>
      </c>
      <c r="G666" s="183"/>
      <c r="H666" s="183"/>
      <c r="I666" s="13">
        <f>SUM(F666:H666)</f>
        <v>53.48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27257.15</v>
      </c>
      <c r="G668" s="13" t="e">
        <f>ROUND(G665/G666,2)</f>
        <v>#DIV/0!</v>
      </c>
      <c r="H668" s="13" t="e">
        <f>ROUND(H665/H666,2)</f>
        <v>#DIV/0!</v>
      </c>
      <c r="I668" s="13">
        <f>ROUND(I665/I666,2)</f>
        <v>28840.52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f t="shared" si="52"/>
        <v>-202.84999999997672</v>
      </c>
      <c r="H670" s="73">
        <f t="shared" si="52"/>
        <v>-84475.75</v>
      </c>
      <c r="I670" s="13">
        <f>SUM(F670:H670)</f>
        <v>-84678.599999999977</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27257.15</v>
      </c>
      <c r="G673" s="13" t="e">
        <f>ROUND((G665+G670)/(G666+G671),2)</f>
        <v>#DIV/0!</v>
      </c>
      <c r="H673" s="13" t="e">
        <f>ROUND((H665+H670)/(H666+H671),2)</f>
        <v>#DIV/0!</v>
      </c>
      <c r="I673" s="13">
        <f>ROUND((I665+I670)/(I666+I671),2)</f>
        <v>27257.15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37" sqref="C37"/>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11792.54</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6158.81</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5633.73</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4721.51</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Stoddard</v>
      </c>
      <c r="C5" s="321"/>
      <c r="D5" s="321"/>
      <c r="E5" s="321"/>
      <c r="F5" s="321"/>
    </row>
    <row r="8" spans="1:9" ht="18" x14ac:dyDescent="0.25">
      <c r="A8" s="239" t="s">
        <v>1548</v>
      </c>
      <c r="F8" s="246" t="s">
        <v>1566</v>
      </c>
    </row>
    <row r="9" spans="1:9" ht="15" x14ac:dyDescent="0.2">
      <c r="A9" s="237" t="s">
        <v>1549</v>
      </c>
      <c r="B9" s="240">
        <f>'DOE25'!G97</f>
        <v>11068.6</v>
      </c>
      <c r="F9" s="237" t="s">
        <v>1562</v>
      </c>
    </row>
    <row r="10" spans="1:9" ht="15" x14ac:dyDescent="0.2">
      <c r="A10" s="237" t="s">
        <v>1550</v>
      </c>
      <c r="B10" s="240">
        <f>'DOE25'!G112-'DOE25'!G97</f>
        <v>33100</v>
      </c>
      <c r="F10" s="237" t="s">
        <v>1563</v>
      </c>
    </row>
    <row r="11" spans="1:9" ht="15" x14ac:dyDescent="0.2">
      <c r="A11" s="237" t="s">
        <v>1551</v>
      </c>
      <c r="B11" s="240">
        <f>'DOE25'!G140</f>
        <v>384.6</v>
      </c>
      <c r="F11" s="237" t="s">
        <v>1564</v>
      </c>
    </row>
    <row r="12" spans="1:9" ht="15" x14ac:dyDescent="0.2">
      <c r="A12" s="237" t="s">
        <v>1552</v>
      </c>
      <c r="B12" s="240">
        <f>'DOE25'!G170</f>
        <v>13147.92</v>
      </c>
      <c r="F12" s="237" t="s">
        <v>1565</v>
      </c>
    </row>
    <row r="13" spans="1:9" ht="15" x14ac:dyDescent="0.2">
      <c r="A13" s="237" t="s">
        <v>1553</v>
      </c>
      <c r="B13" s="240">
        <f>'DOE25'!G193-'DOE25'!G180</f>
        <v>0</v>
      </c>
      <c r="F13" s="237" t="s">
        <v>1575</v>
      </c>
    </row>
    <row r="14" spans="1:9" ht="18" x14ac:dyDescent="0.25">
      <c r="A14" s="239" t="s">
        <v>732</v>
      </c>
      <c r="B14" s="241">
        <f>SUM(B9:B13)</f>
        <v>57701.119999999995</v>
      </c>
    </row>
    <row r="16" spans="1:9" ht="18" x14ac:dyDescent="0.25">
      <c r="A16" s="239" t="s">
        <v>783</v>
      </c>
      <c r="F16" s="246" t="s">
        <v>1567</v>
      </c>
    </row>
    <row r="17" spans="1:6" ht="15" x14ac:dyDescent="0.2">
      <c r="A17" s="237" t="s">
        <v>1554</v>
      </c>
      <c r="B17" s="240">
        <f>'DOE25'!L363-'DOE25'!L362</f>
        <v>54333.51</v>
      </c>
      <c r="F17" s="237" t="s">
        <v>1568</v>
      </c>
    </row>
    <row r="18" spans="1:6" ht="15" x14ac:dyDescent="0.2">
      <c r="A18" s="237" t="s">
        <v>1555</v>
      </c>
      <c r="B18" s="250"/>
      <c r="F18" s="246" t="s">
        <v>1592</v>
      </c>
    </row>
    <row r="19" spans="1:6" ht="18" x14ac:dyDescent="0.25">
      <c r="A19" s="239" t="s">
        <v>725</v>
      </c>
      <c r="B19" s="241">
        <f>SUM(B17:B18)</f>
        <v>54333.51</v>
      </c>
    </row>
    <row r="21" spans="1:6" ht="18.75" thickBot="1" x14ac:dyDescent="0.3">
      <c r="A21" s="239" t="s">
        <v>1556</v>
      </c>
    </row>
    <row r="22" spans="1:6" ht="18.75" thickTop="1" x14ac:dyDescent="0.25">
      <c r="A22" s="239" t="s">
        <v>1557</v>
      </c>
      <c r="B22" s="245">
        <f>B14-B19</f>
        <v>3367.6099999999933</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3367.6099999999933</v>
      </c>
      <c r="F33" s="237" t="s">
        <v>1573</v>
      </c>
    </row>
    <row r="36" spans="1:6" ht="15" x14ac:dyDescent="0.2">
      <c r="A36" s="237" t="s">
        <v>1559</v>
      </c>
      <c r="B36" s="251">
        <v>3712.01</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D38" sqref="D3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Stoddard</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311282.60000000003</v>
      </c>
      <c r="C9" s="166">
        <f>'DOE25'!G198+'DOE25'!G216+'DOE25'!G234+'DOE25'!G277+'DOE25'!G296+'DOE25'!G315</f>
        <v>134311.89000000001</v>
      </c>
    </row>
    <row r="10" spans="1:3" x14ac:dyDescent="0.2">
      <c r="A10" t="s">
        <v>772</v>
      </c>
      <c r="B10" s="176">
        <v>302447.59999999998</v>
      </c>
      <c r="C10" s="176">
        <v>133444.67000000001</v>
      </c>
    </row>
    <row r="11" spans="1:3" x14ac:dyDescent="0.2">
      <c r="A11" t="s">
        <v>773</v>
      </c>
      <c r="B11" s="176">
        <v>0</v>
      </c>
      <c r="C11" s="176">
        <v>0</v>
      </c>
    </row>
    <row r="12" spans="1:3" x14ac:dyDescent="0.2">
      <c r="A12" t="s">
        <v>774</v>
      </c>
      <c r="B12" s="176">
        <v>8835</v>
      </c>
      <c r="C12" s="176">
        <v>867.22</v>
      </c>
    </row>
    <row r="13" spans="1:3" x14ac:dyDescent="0.2">
      <c r="A13" t="str">
        <f>IF(B9=B13,IF(C9=C13,"Check Total OK","Check Total Error"),"Check Total Error")</f>
        <v>Check Total OK</v>
      </c>
      <c r="B13" s="168">
        <f>SUM(B10:B12)</f>
        <v>311282.59999999998</v>
      </c>
      <c r="C13" s="168">
        <f>SUM(C10:C12)</f>
        <v>134311.89000000001</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153243.59</v>
      </c>
      <c r="C18" s="166">
        <f>'DOE25'!G199+'DOE25'!G217+'DOE25'!G235+'DOE25'!G278+'DOE25'!G297+'DOE25'!G316</f>
        <v>52108.689999999995</v>
      </c>
    </row>
    <row r="19" spans="1:3" x14ac:dyDescent="0.2">
      <c r="A19" t="s">
        <v>772</v>
      </c>
      <c r="B19" s="176">
        <v>73319</v>
      </c>
      <c r="C19" s="176">
        <v>45899.839999999997</v>
      </c>
    </row>
    <row r="20" spans="1:3" x14ac:dyDescent="0.2">
      <c r="A20" t="s">
        <v>773</v>
      </c>
      <c r="B20" s="176">
        <v>79924.59</v>
      </c>
      <c r="C20" s="176">
        <v>6208.85</v>
      </c>
    </row>
    <row r="21" spans="1:3" x14ac:dyDescent="0.2">
      <c r="A21" t="s">
        <v>774</v>
      </c>
      <c r="B21" s="176">
        <v>0</v>
      </c>
      <c r="C21" s="176"/>
    </row>
    <row r="22" spans="1:3" x14ac:dyDescent="0.2">
      <c r="A22" t="str">
        <f>IF(B18=B22,IF(C18=C22,"Check Total OK","Check Total Error"),"Check Total Error")</f>
        <v>Check Total OK</v>
      </c>
      <c r="B22" s="168">
        <f>SUM(B19:B21)</f>
        <v>153243.59</v>
      </c>
      <c r="C22" s="168">
        <f>SUM(C19:C21)</f>
        <v>52108.689999999995</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0</v>
      </c>
      <c r="C36" s="172">
        <f>'DOE25'!G201+'DOE25'!G219+'DOE25'!G237+'DOE25'!G280+'DOE25'!G299+'DOE25'!G318</f>
        <v>0</v>
      </c>
    </row>
    <row r="37" spans="1:3" x14ac:dyDescent="0.2">
      <c r="A37" t="s">
        <v>772</v>
      </c>
      <c r="B37" s="176"/>
      <c r="C37" s="176"/>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0</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G46" sqref="G4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Stoddard</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2538282.9900000002</v>
      </c>
      <c r="D5" s="19">
        <f>SUM('DOE25'!L198:L201)+SUM('DOE25'!L216:L219)+SUM('DOE25'!L234:L237)-F5-G5-H5</f>
        <v>2530970.36</v>
      </c>
      <c r="E5" s="179"/>
      <c r="F5" s="180"/>
      <c r="G5" s="19">
        <f>SUM('DOE25'!J198:J201)+SUM('DOE25'!J216:J219)+SUM('DOE25'!J234:J237)</f>
        <v>3615.18</v>
      </c>
      <c r="H5" s="19">
        <f>SUM('DOE25'!K198:K201)+SUM('DOE25'!K216:K219)+SUM('DOE25'!K234:K237)</f>
        <v>3697.45</v>
      </c>
      <c r="I5" s="191"/>
    </row>
    <row r="6" spans="1:9" x14ac:dyDescent="0.2">
      <c r="A6" s="31">
        <v>2100</v>
      </c>
      <c r="B6" t="s">
        <v>793</v>
      </c>
      <c r="C6" s="205">
        <f t="shared" si="0"/>
        <v>160814.30000000002</v>
      </c>
      <c r="D6" s="19">
        <f>'DOE25'!L203+'DOE25'!L221+'DOE25'!L239-F6-G6-H6</f>
        <v>122794.70000000001</v>
      </c>
      <c r="E6" s="179"/>
      <c r="F6" s="180">
        <f>(35782.25+52237.35)-50000</f>
        <v>38019.600000000006</v>
      </c>
      <c r="G6" s="19">
        <f>'DOE25'!J203+'DOE25'!J221+'DOE25'!J239</f>
        <v>0</v>
      </c>
      <c r="H6" s="19">
        <f>'DOE25'!K203+'DOE25'!K221+'DOE25'!K239</f>
        <v>0</v>
      </c>
      <c r="I6" s="191"/>
    </row>
    <row r="7" spans="1:9" x14ac:dyDescent="0.2">
      <c r="A7" s="31">
        <v>2200</v>
      </c>
      <c r="B7" t="s">
        <v>817</v>
      </c>
      <c r="C7" s="205">
        <f t="shared" si="0"/>
        <v>31345.02</v>
      </c>
      <c r="D7" s="19">
        <f>'DOE25'!L204+'DOE25'!L222+'DOE25'!L240-F7-G7-H7</f>
        <v>17922.52</v>
      </c>
      <c r="E7" s="179"/>
      <c r="F7" s="180"/>
      <c r="G7" s="19">
        <f>'DOE25'!J204+'DOE25'!J222+'DOE25'!J240</f>
        <v>13422.5</v>
      </c>
      <c r="H7" s="19">
        <f>'DOE25'!K204+'DOE25'!K222+'DOE25'!K240</f>
        <v>0</v>
      </c>
      <c r="I7" s="191"/>
    </row>
    <row r="8" spans="1:9" x14ac:dyDescent="0.2">
      <c r="A8" s="31">
        <v>2300</v>
      </c>
      <c r="B8" t="s">
        <v>794</v>
      </c>
      <c r="C8" s="205">
        <f t="shared" si="0"/>
        <v>174692.83</v>
      </c>
      <c r="D8" s="179"/>
      <c r="E8" s="19">
        <f>'DOE25'!L205+'DOE25'!L223+'DOE25'!L241-F8-G8-H8-D9-D11</f>
        <v>173080.33</v>
      </c>
      <c r="F8" s="180"/>
      <c r="G8" s="19">
        <f>'DOE25'!J205+'DOE25'!J223+'DOE25'!J241</f>
        <v>0</v>
      </c>
      <c r="H8" s="19">
        <f>'DOE25'!K205+'DOE25'!K223+'DOE25'!K241</f>
        <v>1612.5</v>
      </c>
      <c r="I8" s="191"/>
    </row>
    <row r="9" spans="1:9" ht="14.25" x14ac:dyDescent="0.2">
      <c r="A9" s="31">
        <v>2310</v>
      </c>
      <c r="B9" s="71" t="s">
        <v>884</v>
      </c>
      <c r="C9" s="205">
        <f t="shared" si="0"/>
        <v>12297.88</v>
      </c>
      <c r="D9" s="180">
        <v>12297.88</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220010.04</v>
      </c>
      <c r="D12" s="19">
        <f>'DOE25'!L206+'DOE25'!L224+'DOE25'!L242-F12-G12-H12</f>
        <v>219191.04000000001</v>
      </c>
      <c r="E12" s="179"/>
      <c r="F12" s="180"/>
      <c r="G12" s="19">
        <f>'DOE25'!J206+'DOE25'!J224+'DOE25'!J242</f>
        <v>0</v>
      </c>
      <c r="H12" s="19">
        <f>'DOE25'!K206+'DOE25'!K224+'DOE25'!K242</f>
        <v>819</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162841.13999999998</v>
      </c>
      <c r="D14" s="19">
        <f>'DOE25'!L208+'DOE25'!L226+'DOE25'!L244-F14-G14-H14</f>
        <v>162841.13999999998</v>
      </c>
      <c r="E14" s="179"/>
      <c r="F14" s="180"/>
      <c r="G14" s="19">
        <f>'DOE25'!J208+'DOE25'!J226+'DOE25'!J244</f>
        <v>0</v>
      </c>
      <c r="H14" s="19">
        <f>'DOE25'!K208+'DOE25'!K226+'DOE25'!K244</f>
        <v>0</v>
      </c>
      <c r="I14" s="191"/>
    </row>
    <row r="15" spans="1:9" x14ac:dyDescent="0.2">
      <c r="A15" s="31">
        <v>2700</v>
      </c>
      <c r="B15" t="s">
        <v>796</v>
      </c>
      <c r="C15" s="205">
        <f t="shared" si="0"/>
        <v>131784.79999999999</v>
      </c>
      <c r="D15" s="19">
        <f>'DOE25'!L209+'DOE25'!L227+'DOE25'!L245-F15-G15-H15</f>
        <v>107798.79999999999</v>
      </c>
      <c r="E15" s="179"/>
      <c r="F15" s="180">
        <f>48986-25000</f>
        <v>23986</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37864.86</v>
      </c>
      <c r="D29" s="211">
        <f>'DOE25'!L359+'DOE25'!L360+'DOE25'!L361-'DOE25'!I368-F29-G29-H29-F39</f>
        <v>32843.620000000003</v>
      </c>
      <c r="E29" s="179"/>
      <c r="F29" s="179"/>
      <c r="G29" s="19">
        <f>'DOE25'!J359+'DOE25'!J360+'DOE25'!J361</f>
        <v>4931.6400000000003</v>
      </c>
      <c r="H29" s="19">
        <f>'DOE25'!K359+'DOE25'!K360+'DOE25'!K361</f>
        <v>89.6</v>
      </c>
      <c r="I29" s="191"/>
    </row>
    <row r="30" spans="1:9" x14ac:dyDescent="0.2">
      <c r="A30" s="31"/>
      <c r="C30" s="206"/>
      <c r="D30" s="19"/>
      <c r="F30" s="200"/>
      <c r="G30" s="19"/>
      <c r="H30" s="19"/>
      <c r="I30" s="191"/>
    </row>
    <row r="31" spans="1:9" x14ac:dyDescent="0.2">
      <c r="A31" s="31" t="s">
        <v>814</v>
      </c>
      <c r="B31" t="s">
        <v>813</v>
      </c>
      <c r="C31" s="205">
        <f>SUM(D31:I31)</f>
        <v>134885.15000000002</v>
      </c>
      <c r="D31" s="19">
        <f>'DOE25'!L291+'DOE25'!L310+'DOE25'!L329+'DOE25'!L334+'DOE25'!L335+'DOE25'!L336-F31-G31-H31</f>
        <v>112906.71000000002</v>
      </c>
      <c r="E31" s="179"/>
      <c r="F31" s="180"/>
      <c r="G31" s="19">
        <f>'DOE25'!J291+'DOE25'!J310+'DOE25'!J329+'DOE25'!J334+'DOE25'!J335+'DOE25'!J336</f>
        <v>15732</v>
      </c>
      <c r="H31" s="19">
        <f>'DOE25'!K291+'DOE25'!K310+'DOE25'!K329+'DOE25'!K334+'DOE25'!K335+'DOE25'!K336</f>
        <v>6246.4400000000005</v>
      </c>
      <c r="I31" s="191"/>
    </row>
    <row r="32" spans="1:9" ht="12" thickBot="1" x14ac:dyDescent="0.25">
      <c r="C32" s="206"/>
      <c r="G32" s="187"/>
      <c r="H32" s="187"/>
      <c r="I32" s="193"/>
    </row>
    <row r="33" spans="1:9" ht="12" thickTop="1" x14ac:dyDescent="0.2">
      <c r="B33" t="s">
        <v>806</v>
      </c>
      <c r="D33" s="181">
        <f t="shared" ref="D33:I33" si="1">SUM(D5:D31)</f>
        <v>3319566.77</v>
      </c>
      <c r="E33" s="181">
        <f t="shared" si="1"/>
        <v>173080.33</v>
      </c>
      <c r="F33" s="181">
        <f t="shared" si="1"/>
        <v>62005.600000000006</v>
      </c>
      <c r="G33" s="181">
        <f t="shared" si="1"/>
        <v>37701.32</v>
      </c>
      <c r="H33" s="181">
        <f t="shared" si="1"/>
        <v>12464.990000000002</v>
      </c>
      <c r="I33" s="181">
        <f t="shared" si="1"/>
        <v>0</v>
      </c>
    </row>
    <row r="34" spans="1:9" ht="12" thickBot="1" x14ac:dyDescent="0.25"/>
    <row r="35" spans="1:9" ht="12" thickBot="1" x14ac:dyDescent="0.25">
      <c r="B35" s="187" t="s">
        <v>827</v>
      </c>
      <c r="D35" s="188">
        <f>E33</f>
        <v>173080.33</v>
      </c>
      <c r="E35" s="184"/>
      <c r="F35" s="294" t="s">
        <v>1596</v>
      </c>
      <c r="G35" s="295"/>
      <c r="H35" s="295"/>
      <c r="I35" s="296"/>
    </row>
    <row r="36" spans="1:9" ht="12" thickTop="1" x14ac:dyDescent="0.2">
      <c r="B36" t="s">
        <v>807</v>
      </c>
      <c r="D36" s="19">
        <f>D33</f>
        <v>3319566.77</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0</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Normal="100" workbookViewId="0">
      <selection activeCell="A17" sqref="A1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Stoddard</v>
      </c>
      <c r="B2">
        <f>'DOE25'!B2</f>
        <v>503</v>
      </c>
      <c r="J2" s="223" t="s">
        <v>1799</v>
      </c>
      <c r="K2" s="308">
        <f>SUM('DOE25'!L198:L201)+SUM('DOE25'!L277:L280)</f>
        <v>737755.37000000011</v>
      </c>
      <c r="L2" s="308">
        <f>'DOE25'!L203+'DOE25'!L282</f>
        <v>160814.30000000002</v>
      </c>
      <c r="M2" s="308">
        <f>'DOE25'!L204+'DOE25'!L283</f>
        <v>44967.12</v>
      </c>
      <c r="N2" s="308">
        <f>'DOE25'!L206+'DOE25'!L285</f>
        <v>220010.04</v>
      </c>
      <c r="O2" s="316">
        <f>'Salaries-Benefits'!B10+'Salaries-Benefits'!B12+'Salaries-Benefits'!B19+'Salaries-Benefits'!B21+'Salaries-Benefits'!B28+'Salaries-Benefits'!B30+'Salaries-Benefits'!B37+'Salaries-Benefits'!B39</f>
        <v>384601.59999999998</v>
      </c>
      <c r="P2" s="316">
        <f>'Salaries-Benefits'!B11+'Salaries-Benefits'!B20+'Salaries-Benefits'!B29+'Salaries-Benefits'!B38</f>
        <v>79924.59</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1497688.2900000003</v>
      </c>
      <c r="G4" s="228">
        <f>'DOE25'!L212+'DOE25'!L291</f>
        <v>1497688.29</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4513.07</v>
      </c>
      <c r="E5" s="219"/>
      <c r="F5" s="231">
        <f>D5+E5</f>
        <v>4513.07</v>
      </c>
      <c r="G5" s="222"/>
      <c r="H5" s="222"/>
      <c r="J5" s="71" t="s">
        <v>1840</v>
      </c>
      <c r="K5" s="20">
        <v>4513.07</v>
      </c>
      <c r="L5" s="20">
        <v>0</v>
      </c>
      <c r="M5" s="20">
        <v>0</v>
      </c>
      <c r="N5" s="20">
        <v>0</v>
      </c>
      <c r="O5" s="20">
        <v>0</v>
      </c>
      <c r="P5" s="20">
        <v>0</v>
      </c>
      <c r="Q5" s="20">
        <v>0</v>
      </c>
    </row>
    <row r="6" spans="1:22" x14ac:dyDescent="0.2">
      <c r="A6" t="str" cm="1">
        <f t="array" ref="A6">IFERROR(INDEX('School Tables'!$A$4:$G$365,'School Tables'!$J4,3),"")</f>
        <v>James Faulkner Elementary School</v>
      </c>
      <c r="B6" s="229">
        <f>IFERROR(VLOOKUP(A6,'School Tables'!$C$3:$D$365,2,FALSE),"")</f>
        <v>20980</v>
      </c>
      <c r="C6" s="222" t="str">
        <f>IFERROR(INDEX('School Tables'!$B$3:$B$365,MATCH('School Level Expenditures'!B6,'School Tables'!$D$3:$D$365,0)),"")</f>
        <v>Stoddard</v>
      </c>
      <c r="D6" s="219">
        <f>'DOE25'!L212-D5</f>
        <v>1358290.07</v>
      </c>
      <c r="E6" s="219">
        <f>'DOE25'!L291</f>
        <v>134885.15000000002</v>
      </c>
      <c r="F6" s="231">
        <f t="shared" ref="F6:F20" si="2">D6+E6</f>
        <v>1493175.2200000002</v>
      </c>
      <c r="G6" s="222"/>
      <c r="H6" s="222"/>
      <c r="J6" t="str">
        <f t="shared" ref="J6:J20" si="3">A6</f>
        <v>James Faulkner Elementary School</v>
      </c>
      <c r="K6" s="20">
        <v>733242.3</v>
      </c>
      <c r="L6" s="20">
        <v>160814.29999999999</v>
      </c>
      <c r="M6" s="307">
        <v>44967.12</v>
      </c>
      <c r="N6" s="20">
        <v>220010.04</v>
      </c>
      <c r="O6" s="20">
        <v>384601.59999999998</v>
      </c>
      <c r="P6" s="20">
        <v>79924.59</v>
      </c>
      <c r="Q6" s="20">
        <v>31.74</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v>0</v>
      </c>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1362803.1400000001</v>
      </c>
      <c r="E21" s="261">
        <f>SUM(E5:E20)</f>
        <v>134885.15000000002</v>
      </c>
      <c r="F21" s="216"/>
      <c r="G21" s="216"/>
      <c r="H21" s="216"/>
      <c r="K21" s="262">
        <f t="shared" ref="K21:Q21" si="4">SUM(K5:K20)</f>
        <v>737755.37</v>
      </c>
      <c r="L21" s="262">
        <f t="shared" si="4"/>
        <v>160814.29999999999</v>
      </c>
      <c r="M21" s="262">
        <f t="shared" si="4"/>
        <v>44967.12</v>
      </c>
      <c r="N21" s="262">
        <f t="shared" si="4"/>
        <v>220010.04</v>
      </c>
      <c r="O21" s="262">
        <f t="shared" si="4"/>
        <v>384601.59999999998</v>
      </c>
      <c r="P21" s="262">
        <f t="shared" si="4"/>
        <v>79924.59</v>
      </c>
      <c r="Q21" s="262">
        <f t="shared" si="4"/>
        <v>31.74</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696332.05</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771311.06</v>
      </c>
      <c r="G25" s="228">
        <f>'DOE25'!L230+'DOE25'!L310</f>
        <v>771311.06</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771311.06</v>
      </c>
      <c r="E26" s="219">
        <v>0</v>
      </c>
      <c r="F26" s="231">
        <f>D26+E26</f>
        <v>771311.06</v>
      </c>
      <c r="G26" s="222"/>
      <c r="H26" s="222"/>
      <c r="J26" s="71" t="s">
        <v>1840</v>
      </c>
      <c r="K26" s="315">
        <v>696332.05</v>
      </c>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771311.06</v>
      </c>
      <c r="E34" s="261">
        <f>SUM(E26:E33)</f>
        <v>0</v>
      </c>
      <c r="F34" s="216"/>
      <c r="G34" s="216"/>
      <c r="H34" s="216"/>
      <c r="K34" s="262">
        <f t="shared" ref="K34:Q34" si="8">SUM(K26:K33)</f>
        <v>696332.05</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1206281.51</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1297954.8</v>
      </c>
      <c r="G38" s="228">
        <f>'DOE25'!L248+'DOE25'!L329</f>
        <v>1297954.8</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1297954.8</v>
      </c>
      <c r="E39" s="219">
        <v>0</v>
      </c>
      <c r="F39" s="231">
        <f t="shared" ref="F39:F44" si="10">D39+E39</f>
        <v>1297954.8</v>
      </c>
      <c r="G39" s="222"/>
      <c r="H39" s="222"/>
      <c r="J39" s="71" t="s">
        <v>1840</v>
      </c>
      <c r="K39" s="315">
        <v>1206281.51</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1297954.8</v>
      </c>
      <c r="E45" s="262">
        <f>SUM(E39:E44)</f>
        <v>0</v>
      </c>
      <c r="K45" s="262">
        <f t="shared" ref="K45:Q45" si="11">SUM(K39:K44)</f>
        <v>1206281.51</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Stoddard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360808.55</v>
      </c>
      <c r="D8" s="73">
        <f>'DOE25'!G9</f>
        <v>0</v>
      </c>
      <c r="E8" s="73">
        <f>'DOE25'!H9</f>
        <v>0</v>
      </c>
      <c r="F8" s="73">
        <f>'DOE25'!I9</f>
        <v>0</v>
      </c>
      <c r="G8" s="73">
        <f>'DOE25'!J9</f>
        <v>252260.92</v>
      </c>
      <c r="H8" s="13">
        <f>SUM(C8:G8)</f>
        <v>613069.47</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486.04</v>
      </c>
      <c r="E12" s="73">
        <f>'DOE25'!H13</f>
        <v>36157.51</v>
      </c>
      <c r="F12" s="73">
        <f>'DOE25'!I13</f>
        <v>0</v>
      </c>
      <c r="G12" s="73">
        <f>'DOE25'!J13</f>
        <v>0</v>
      </c>
      <c r="H12" s="13">
        <f t="shared" si="0"/>
        <v>36643.550000000003</v>
      </c>
      <c r="I12" s="90"/>
    </row>
    <row r="13" spans="1:9" x14ac:dyDescent="0.2">
      <c r="A13" s="1" t="s">
        <v>144</v>
      </c>
      <c r="B13" s="6">
        <v>150</v>
      </c>
      <c r="C13" s="73">
        <f>'DOE25'!F14</f>
        <v>762.24</v>
      </c>
      <c r="D13" s="73">
        <f>'DOE25'!G14</f>
        <v>0</v>
      </c>
      <c r="E13" s="73">
        <f>'DOE25'!H14</f>
        <v>0</v>
      </c>
      <c r="F13" s="73">
        <f>'DOE25'!I14</f>
        <v>0</v>
      </c>
      <c r="G13" s="73">
        <f>'DOE25'!J14</f>
        <v>0</v>
      </c>
      <c r="H13" s="13">
        <f t="shared" si="0"/>
        <v>762.24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600</v>
      </c>
      <c r="D16" s="73">
        <f>'DOE25'!G17</f>
        <v>0</v>
      </c>
      <c r="E16" s="73">
        <f>'DOE25'!H17</f>
        <v>0</v>
      </c>
      <c r="F16" s="73">
        <f>'DOE25'!I17</f>
        <v>0</v>
      </c>
      <c r="G16" s="73">
        <f>'DOE25'!J17</f>
        <v>0</v>
      </c>
      <c r="H16" s="13">
        <f t="shared" si="0"/>
        <v>600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362170.79</v>
      </c>
      <c r="D18" s="38">
        <f>SUM(D8:D17)</f>
        <v>486.04</v>
      </c>
      <c r="E18" s="38">
        <f>SUM(E8:E17)</f>
        <v>36157.51</v>
      </c>
      <c r="F18" s="38">
        <f>SUM(F8:F17)</f>
        <v>0</v>
      </c>
      <c r="G18" s="38">
        <f>SUM(G8:G17)</f>
        <v>252260.92</v>
      </c>
      <c r="H18" s="38">
        <f t="shared" si="0"/>
        <v>651075.26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-15101.24</v>
      </c>
      <c r="D21" s="73">
        <f>'DOE25'!G22</f>
        <v>-3474.56</v>
      </c>
      <c r="E21" s="73">
        <f>'DOE25'!H22</f>
        <v>18575.8</v>
      </c>
      <c r="F21" s="73">
        <f>'DOE25'!I22</f>
        <v>0</v>
      </c>
      <c r="G21" s="73">
        <f>'DOE25'!J22</f>
        <v>0</v>
      </c>
      <c r="H21" s="13">
        <f t="shared" ref="H21:H31" si="1">SUM(C21:G21)</f>
        <v>0</v>
      </c>
      <c r="I21" s="90"/>
    </row>
    <row r="22" spans="1:9" x14ac:dyDescent="0.2">
      <c r="A22" s="1" t="s">
        <v>151</v>
      </c>
      <c r="B22" s="6">
        <v>410</v>
      </c>
      <c r="C22" s="73">
        <f>'DOE25'!F23</f>
        <v>12797.71</v>
      </c>
      <c r="D22" s="73">
        <f>'DOE25'!G23</f>
        <v>0</v>
      </c>
      <c r="E22" s="73">
        <f>'DOE25'!H23</f>
        <v>0</v>
      </c>
      <c r="F22" s="73">
        <f>'DOE25'!I23</f>
        <v>0</v>
      </c>
      <c r="G22" s="73">
        <f>'DOE25'!J23</f>
        <v>0</v>
      </c>
      <c r="H22" s="13">
        <f t="shared" si="1"/>
        <v>12797.71</v>
      </c>
      <c r="I22" s="90"/>
    </row>
    <row r="23" spans="1:9" x14ac:dyDescent="0.2">
      <c r="A23" s="1" t="s">
        <v>152</v>
      </c>
      <c r="B23" s="6">
        <v>420</v>
      </c>
      <c r="C23" s="73">
        <f>'DOE25'!F24</f>
        <v>45009.57</v>
      </c>
      <c r="D23" s="73">
        <f>'DOE25'!G24</f>
        <v>376.14</v>
      </c>
      <c r="E23" s="73">
        <f>'DOE25'!H24</f>
        <v>16637.91</v>
      </c>
      <c r="F23" s="73">
        <f>'DOE25'!I24</f>
        <v>0</v>
      </c>
      <c r="G23" s="73">
        <f>'DOE25'!J24</f>
        <v>0</v>
      </c>
      <c r="H23" s="13">
        <f t="shared" si="1"/>
        <v>62023.619999999995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1826.82</v>
      </c>
      <c r="D27" s="73">
        <f>'DOE25'!G28</f>
        <v>0</v>
      </c>
      <c r="E27" s="73">
        <f>'DOE25'!H28</f>
        <v>0</v>
      </c>
      <c r="F27" s="73">
        <f>'DOE25'!I28</f>
        <v>0</v>
      </c>
      <c r="G27" s="23" t="s">
        <v>288</v>
      </c>
      <c r="H27" s="13">
        <f t="shared" si="1"/>
        <v>1826.82</v>
      </c>
      <c r="I27" s="90"/>
    </row>
    <row r="28" spans="1:9" x14ac:dyDescent="0.2">
      <c r="A28" s="1" t="s">
        <v>157</v>
      </c>
      <c r="B28" s="6">
        <v>470</v>
      </c>
      <c r="C28" s="73">
        <f>'DOE25'!F29</f>
        <v>1883.57</v>
      </c>
      <c r="D28" s="73">
        <f>'DOE25'!G29</f>
        <v>0</v>
      </c>
      <c r="E28" s="73">
        <f>'DOE25'!H29</f>
        <v>0</v>
      </c>
      <c r="F28" s="73">
        <f>'DOE25'!I29</f>
        <v>0</v>
      </c>
      <c r="G28" s="23" t="s">
        <v>288</v>
      </c>
      <c r="H28" s="13">
        <f t="shared" si="1"/>
        <v>1883.57</v>
      </c>
      <c r="I28" s="90"/>
    </row>
    <row r="29" spans="1:9" x14ac:dyDescent="0.2">
      <c r="A29" s="1" t="s">
        <v>158</v>
      </c>
      <c r="B29" s="6">
        <v>480</v>
      </c>
      <c r="C29" s="73">
        <f>'DOE25'!F30</f>
        <v>0</v>
      </c>
      <c r="D29" s="73">
        <f>'DOE25'!G30</f>
        <v>216.85</v>
      </c>
      <c r="E29" s="73">
        <f>'DOE25'!H30</f>
        <v>943.8</v>
      </c>
      <c r="F29" s="73">
        <f>'DOE25'!I30</f>
        <v>0</v>
      </c>
      <c r="G29" s="23" t="s">
        <v>288</v>
      </c>
      <c r="H29" s="13">
        <f t="shared" si="1"/>
        <v>1160.6499999999999</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46416.43</v>
      </c>
      <c r="D31" s="38">
        <f>SUM(D21:D30)</f>
        <v>-2881.57</v>
      </c>
      <c r="E31" s="38">
        <f>SUM(E21:E30)</f>
        <v>36157.51</v>
      </c>
      <c r="F31" s="38">
        <f>SUM(F21:F30)</f>
        <v>0</v>
      </c>
      <c r="G31" s="38">
        <f>SUM(G21:G30)</f>
        <v>0</v>
      </c>
      <c r="H31" s="38">
        <f t="shared" si="1"/>
        <v>79692.37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100000</v>
      </c>
      <c r="D43" s="73">
        <f>'DOE25'!G44</f>
        <v>0</v>
      </c>
      <c r="E43" s="73">
        <f>'DOE25'!H44</f>
        <v>0</v>
      </c>
      <c r="F43" s="73">
        <f>'DOE25'!I44</f>
        <v>0</v>
      </c>
      <c r="G43" s="23" t="s">
        <v>288</v>
      </c>
      <c r="H43" s="13">
        <f t="shared" si="2"/>
        <v>100000</v>
      </c>
      <c r="I43" s="90"/>
    </row>
    <row r="44" spans="1:9" x14ac:dyDescent="0.2">
      <c r="A44" s="1" t="s">
        <v>860</v>
      </c>
      <c r="B44" s="6">
        <v>753</v>
      </c>
      <c r="C44" s="73">
        <f>'DOE25'!F45</f>
        <v>30874</v>
      </c>
      <c r="D44" s="73">
        <f>'DOE25'!G45</f>
        <v>0</v>
      </c>
      <c r="E44" s="73">
        <f>'DOE25'!H45</f>
        <v>0</v>
      </c>
      <c r="F44" s="73">
        <f>'DOE25'!I45</f>
        <v>0</v>
      </c>
      <c r="G44" s="73">
        <f>'DOE25'!J45</f>
        <v>0</v>
      </c>
      <c r="H44" s="13">
        <f t="shared" si="2"/>
        <v>30874</v>
      </c>
      <c r="I44" s="90"/>
    </row>
    <row r="45" spans="1:9" x14ac:dyDescent="0.2">
      <c r="A45" s="1" t="s">
        <v>876</v>
      </c>
      <c r="B45" s="6"/>
      <c r="C45" s="73">
        <f>'DOE25'!F46</f>
        <v>108680.36</v>
      </c>
      <c r="D45" s="23" t="s">
        <v>288</v>
      </c>
      <c r="E45" s="23" t="s">
        <v>288</v>
      </c>
      <c r="F45" s="23" t="s">
        <v>288</v>
      </c>
      <c r="G45" s="23" t="s">
        <v>288</v>
      </c>
      <c r="H45" s="13">
        <f t="shared" si="2"/>
        <v>108680.36</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3367.61</v>
      </c>
      <c r="E47" s="73">
        <f>'DOE25'!H48</f>
        <v>0</v>
      </c>
      <c r="F47" s="73">
        <f>'DOE25'!I48</f>
        <v>0</v>
      </c>
      <c r="G47" s="73">
        <f>'DOE25'!J48</f>
        <v>252260.92</v>
      </c>
      <c r="H47" s="13">
        <f t="shared" si="2"/>
        <v>255628.53</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76200</v>
      </c>
      <c r="D49" s="23" t="s">
        <v>288</v>
      </c>
      <c r="E49" s="23" t="s">
        <v>288</v>
      </c>
      <c r="F49" s="23" t="s">
        <v>288</v>
      </c>
      <c r="G49" s="23" t="s">
        <v>288</v>
      </c>
      <c r="H49" s="13">
        <f t="shared" si="2"/>
        <v>76200</v>
      </c>
      <c r="I49" s="90"/>
    </row>
    <row r="50" spans="1:9" ht="12.75" thickTop="1" thickBot="1" x14ac:dyDescent="0.25">
      <c r="A50" s="35" t="s">
        <v>880</v>
      </c>
      <c r="B50" s="44"/>
      <c r="C50" s="38">
        <f>SUM(C34:C49)</f>
        <v>315754.36</v>
      </c>
      <c r="D50" s="38">
        <f>SUM(D34:D49)</f>
        <v>3367.61</v>
      </c>
      <c r="E50" s="38">
        <f>SUM(E34:E49)</f>
        <v>0</v>
      </c>
      <c r="F50" s="38">
        <f>SUM(F34:F49)</f>
        <v>0</v>
      </c>
      <c r="G50" s="38">
        <f>SUM(G34:G49)</f>
        <v>252260.92</v>
      </c>
      <c r="H50" s="38">
        <f t="shared" si="2"/>
        <v>571382.89</v>
      </c>
      <c r="I50" s="90"/>
    </row>
    <row r="51" spans="1:9" ht="12" thickTop="1" x14ac:dyDescent="0.2">
      <c r="A51" s="35" t="s">
        <v>881</v>
      </c>
      <c r="B51" s="2"/>
      <c r="C51" s="38">
        <f>C50+C31</f>
        <v>362170.79</v>
      </c>
      <c r="D51" s="38">
        <f>D50+D31</f>
        <v>486.03999999999996</v>
      </c>
      <c r="E51" s="38">
        <f>E50+E31</f>
        <v>36157.51</v>
      </c>
      <c r="F51" s="38">
        <f>F50+F31</f>
        <v>0</v>
      </c>
      <c r="G51" s="38">
        <f>G50+G31</f>
        <v>252260.92</v>
      </c>
      <c r="H51" s="38">
        <f t="shared" si="2"/>
        <v>651075.26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2543688</v>
      </c>
      <c r="D56" s="73">
        <f>'DOE25'!G60</f>
        <v>33100</v>
      </c>
      <c r="E56" s="73">
        <f>'DOE25'!H60</f>
        <v>0</v>
      </c>
      <c r="F56" s="73">
        <f>'DOE25'!I60</f>
        <v>0</v>
      </c>
      <c r="G56" s="73">
        <f>'DOE25'!J60</f>
        <v>0</v>
      </c>
      <c r="H56" s="13">
        <f t="shared" ref="H56:H63" si="3">SUM(C56:G56)</f>
        <v>2576788</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20444.57</v>
      </c>
      <c r="D59" s="73">
        <f>'DOE25'!G96</f>
        <v>0</v>
      </c>
      <c r="E59" s="73">
        <f>'DOE25'!H96</f>
        <v>0</v>
      </c>
      <c r="F59" s="73">
        <f>'DOE25'!I96</f>
        <v>0</v>
      </c>
      <c r="G59" s="73">
        <f>'DOE25'!J96</f>
        <v>13216.34</v>
      </c>
      <c r="H59" s="13">
        <f t="shared" si="3"/>
        <v>33660.910000000003</v>
      </c>
      <c r="I59"/>
    </row>
    <row r="60" spans="1:9" x14ac:dyDescent="0.2">
      <c r="A60" s="1" t="s">
        <v>170</v>
      </c>
      <c r="B60" s="22" t="s">
        <v>171</v>
      </c>
      <c r="C60" s="23" t="s">
        <v>288</v>
      </c>
      <c r="D60" s="73">
        <f>'DOE25'!G97</f>
        <v>11068.6</v>
      </c>
      <c r="E60" s="23" t="s">
        <v>288</v>
      </c>
      <c r="F60" s="23" t="s">
        <v>288</v>
      </c>
      <c r="G60" s="23" t="s">
        <v>288</v>
      </c>
      <c r="H60" s="13">
        <f t="shared" si="3"/>
        <v>11068.6</v>
      </c>
      <c r="I60"/>
    </row>
    <row r="61" spans="1:9" ht="12" thickBot="1" x14ac:dyDescent="0.25">
      <c r="A61" s="1" t="s">
        <v>172</v>
      </c>
      <c r="B61" s="22" t="s">
        <v>173</v>
      </c>
      <c r="C61" s="73">
        <f>SUM('DOE25'!F98:F110)</f>
        <v>13074.13</v>
      </c>
      <c r="D61" s="73">
        <f>SUM('DOE25'!G98:G110)</f>
        <v>0</v>
      </c>
      <c r="E61" s="73">
        <f>SUM('DOE25'!H98:H110)</f>
        <v>0</v>
      </c>
      <c r="F61" s="73">
        <f>SUM('DOE25'!I98:I110)</f>
        <v>0</v>
      </c>
      <c r="G61" s="73">
        <f>SUM('DOE25'!J98:J110)</f>
        <v>0</v>
      </c>
      <c r="H61" s="13">
        <f t="shared" si="3"/>
        <v>13074.13</v>
      </c>
      <c r="I61"/>
    </row>
    <row r="62" spans="1:9" ht="12.75" thickTop="1" thickBot="1" x14ac:dyDescent="0.25">
      <c r="A62" s="28" t="s">
        <v>174</v>
      </c>
      <c r="B62" s="6"/>
      <c r="C62" s="93">
        <f>SUM(C57:C61)</f>
        <v>33518.699999999997</v>
      </c>
      <c r="D62" s="93">
        <f>SUM(D57:D61)</f>
        <v>11068.6</v>
      </c>
      <c r="E62" s="93">
        <f>SUM(E57:E61)</f>
        <v>0</v>
      </c>
      <c r="F62" s="93">
        <f>SUM(F57:F61)</f>
        <v>0</v>
      </c>
      <c r="G62" s="93">
        <f>SUM(G57:G61)</f>
        <v>13216.34</v>
      </c>
      <c r="H62" s="13">
        <f t="shared" si="3"/>
        <v>57803.64</v>
      </c>
      <c r="I62"/>
    </row>
    <row r="63" spans="1:9" ht="12" thickTop="1" x14ac:dyDescent="0.2">
      <c r="A63" s="28" t="s">
        <v>175</v>
      </c>
      <c r="B63" s="6"/>
      <c r="C63" s="21">
        <f>C56+C62</f>
        <v>2577206.7000000002</v>
      </c>
      <c r="D63" s="21">
        <f>D56+D62</f>
        <v>44168.6</v>
      </c>
      <c r="E63" s="21">
        <f>E56+E62</f>
        <v>0</v>
      </c>
      <c r="F63" s="21">
        <f>F56+F62</f>
        <v>0</v>
      </c>
      <c r="G63" s="21">
        <f>G56+G62</f>
        <v>13216.34</v>
      </c>
      <c r="H63" s="13">
        <f t="shared" si="3"/>
        <v>2634591.64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220632.08</v>
      </c>
      <c r="D66" s="23" t="s">
        <v>288</v>
      </c>
      <c r="E66" s="23" t="s">
        <v>288</v>
      </c>
      <c r="F66" s="23" t="s">
        <v>288</v>
      </c>
      <c r="G66" s="23" t="s">
        <v>288</v>
      </c>
      <c r="H66" s="13">
        <f t="shared" ref="H66:H81" si="4">SUM(C66:G66)</f>
        <v>220632.08</v>
      </c>
      <c r="I66"/>
    </row>
    <row r="67" spans="1:9" x14ac:dyDescent="0.2">
      <c r="A67" s="1" t="s">
        <v>767</v>
      </c>
      <c r="B67" s="6">
        <v>3112</v>
      </c>
      <c r="C67" s="73">
        <f>'DOE25'!F118</f>
        <v>552862</v>
      </c>
      <c r="D67" s="23"/>
      <c r="E67" s="23"/>
      <c r="F67" s="23"/>
      <c r="G67" s="23"/>
      <c r="H67" s="13">
        <f t="shared" si="4"/>
        <v>552862</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2050</v>
      </c>
      <c r="D69" s="73">
        <f>'DOE25'!G120</f>
        <v>0</v>
      </c>
      <c r="E69" s="73">
        <f>'DOE25'!H120</f>
        <v>0</v>
      </c>
      <c r="F69" s="73">
        <f>'DOE25'!I120</f>
        <v>0</v>
      </c>
      <c r="G69" s="73">
        <f>'DOE25'!J120</f>
        <v>0</v>
      </c>
      <c r="H69" s="13">
        <f t="shared" si="4"/>
        <v>2050</v>
      </c>
      <c r="I69"/>
    </row>
    <row r="70" spans="1:9" ht="12" thickTop="1" x14ac:dyDescent="0.2">
      <c r="A70" s="28" t="s">
        <v>252</v>
      </c>
      <c r="B70" s="2"/>
      <c r="C70" s="97">
        <f>SUM(C66:C69)</f>
        <v>775544.08</v>
      </c>
      <c r="D70" s="97">
        <f>D69</f>
        <v>0</v>
      </c>
      <c r="E70" s="97">
        <f>E69</f>
        <v>0</v>
      </c>
      <c r="F70" s="97">
        <f>F69</f>
        <v>0</v>
      </c>
      <c r="G70" s="97">
        <f>G69</f>
        <v>0</v>
      </c>
      <c r="H70" s="13">
        <f t="shared" si="4"/>
        <v>775544.08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384.6</v>
      </c>
      <c r="E77" s="73">
        <f>SUM('DOE25'!H131:H135)</f>
        <v>0</v>
      </c>
      <c r="F77" s="73">
        <f>SUM('DOE25'!I131:I135)</f>
        <v>0</v>
      </c>
      <c r="G77" s="73">
        <f>SUM('DOE25'!J131:J135)</f>
        <v>0</v>
      </c>
      <c r="H77" s="13">
        <f t="shared" si="4"/>
        <v>384.6</v>
      </c>
      <c r="I77"/>
    </row>
    <row r="78" spans="1:9" ht="12.75" thickTop="1" thickBot="1" x14ac:dyDescent="0.25">
      <c r="A78" s="28" t="s">
        <v>259</v>
      </c>
      <c r="B78" s="6"/>
      <c r="C78" s="93">
        <f>SUM(C72:C77)</f>
        <v>0</v>
      </c>
      <c r="D78" s="93">
        <f>SUM(D72:D77)</f>
        <v>384.6</v>
      </c>
      <c r="E78" s="93">
        <f>SUM(E72:E77)</f>
        <v>0</v>
      </c>
      <c r="F78" s="93">
        <f>SUM(F72:F77)</f>
        <v>0</v>
      </c>
      <c r="G78" s="93">
        <f>SUM(G72:G77)</f>
        <v>0</v>
      </c>
      <c r="H78" s="13">
        <f t="shared" si="4"/>
        <v>384.6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775544.08</v>
      </c>
      <c r="D81" s="93">
        <f>SUM(D79:D80)+D78+D70</f>
        <v>384.6</v>
      </c>
      <c r="E81" s="93">
        <f>SUM(E79:E80)+E78+E70</f>
        <v>0</v>
      </c>
      <c r="F81" s="93">
        <f>SUM(F79:F80)+F78+F70</f>
        <v>0</v>
      </c>
      <c r="G81" s="93">
        <f>SUM(G79:G80)+G78+G70</f>
        <v>0</v>
      </c>
      <c r="H81" s="93">
        <f t="shared" si="4"/>
        <v>775928.67999999993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4721.51</v>
      </c>
      <c r="F85" s="73">
        <f>'DOE25'!I147</f>
        <v>0</v>
      </c>
      <c r="G85" s="23" t="s">
        <v>288</v>
      </c>
      <c r="H85" s="13">
        <f t="shared" ref="H85:H104" si="5">SUM(C85:G85)</f>
        <v>4721.51</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118.91</v>
      </c>
      <c r="D88" s="252">
        <f>SUM('DOE25'!G153:G162)</f>
        <v>13147.92</v>
      </c>
      <c r="E88" s="252">
        <f>SUM('DOE25'!H153:H162)</f>
        <v>130163.64</v>
      </c>
      <c r="F88" s="252">
        <f>SUM('DOE25'!I153:I162)</f>
        <v>0</v>
      </c>
      <c r="G88" s="23" t="s">
        <v>288</v>
      </c>
      <c r="H88" s="13">
        <f t="shared" si="5"/>
        <v>143430.47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118.91</v>
      </c>
      <c r="D91" s="94">
        <f>SUM(D85:D90)</f>
        <v>13147.92</v>
      </c>
      <c r="E91" s="94">
        <f>SUM(E85:E90)</f>
        <v>134885.15</v>
      </c>
      <c r="F91" s="94">
        <f>SUM(F85:F90)</f>
        <v>0</v>
      </c>
      <c r="G91" s="23" t="s">
        <v>288</v>
      </c>
      <c r="H91" s="13">
        <f t="shared" si="5"/>
        <v>148151.97999999998</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0</v>
      </c>
      <c r="H103" s="68">
        <f t="shared" si="5"/>
        <v>0</v>
      </c>
    </row>
    <row r="104" spans="1:8" ht="12.75" thickTop="1" thickBot="1" x14ac:dyDescent="0.25">
      <c r="A104" s="32" t="s">
        <v>758</v>
      </c>
      <c r="C104" s="68">
        <f>C63+C81+C91+C103</f>
        <v>3352869.6900000004</v>
      </c>
      <c r="D104" s="68">
        <f>D63+D81+D91+D103</f>
        <v>57701.119999999995</v>
      </c>
      <c r="E104" s="68">
        <f>E63+E81+E91+E103</f>
        <v>134885.15</v>
      </c>
      <c r="F104" s="68">
        <f>F63+F81+F91+F103</f>
        <v>0</v>
      </c>
      <c r="G104" s="68">
        <f>G63+G81+G103</f>
        <v>13216.34</v>
      </c>
      <c r="H104" s="68">
        <f t="shared" si="5"/>
        <v>3558672.3000000003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1626996.35</v>
      </c>
      <c r="D109" s="23" t="s">
        <v>288</v>
      </c>
      <c r="E109" s="73">
        <f>('DOE25'!L277)+('DOE25'!L296)+('DOE25'!L315)</f>
        <v>67141.42</v>
      </c>
      <c r="F109" s="23" t="s">
        <v>288</v>
      </c>
      <c r="G109" s="23" t="s">
        <v>288</v>
      </c>
      <c r="H109" s="13">
        <f t="shared" ref="H109:H115" si="6">SUM(C109:G109)</f>
        <v>1694137.77</v>
      </c>
    </row>
    <row r="110" spans="1:8" x14ac:dyDescent="0.2">
      <c r="A110" t="s">
        <v>198</v>
      </c>
      <c r="B110" s="31" t="s">
        <v>199</v>
      </c>
      <c r="C110" s="73">
        <f>('DOE25'!L199)+('DOE25'!L217)+('DOE25'!L235)</f>
        <v>910416.64000000013</v>
      </c>
      <c r="D110" s="23" t="s">
        <v>288</v>
      </c>
      <c r="E110" s="73">
        <f>('DOE25'!L278)+('DOE25'!L297)+('DOE25'!L316)</f>
        <v>34944.520000000004</v>
      </c>
      <c r="F110" s="23" t="s">
        <v>288</v>
      </c>
      <c r="G110" s="23" t="s">
        <v>288</v>
      </c>
      <c r="H110" s="13">
        <f t="shared" si="6"/>
        <v>945361.16000000015</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870</v>
      </c>
      <c r="D112" s="23" t="s">
        <v>288</v>
      </c>
      <c r="E112" s="73">
        <f>+('DOE25'!L280)+('DOE25'!L299)+('DOE25'!L318)</f>
        <v>0</v>
      </c>
      <c r="F112" s="23" t="s">
        <v>288</v>
      </c>
      <c r="G112" s="23" t="s">
        <v>288</v>
      </c>
      <c r="H112" s="13">
        <f t="shared" si="6"/>
        <v>870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2538282.9900000002</v>
      </c>
      <c r="D115" s="68">
        <f>SUM(D109:D114)</f>
        <v>0</v>
      </c>
      <c r="E115" s="68">
        <f>SUM(E109:E114)</f>
        <v>102085.94</v>
      </c>
      <c r="F115" s="68">
        <f>SUM(F109:F114)</f>
        <v>0</v>
      </c>
      <c r="G115" s="68">
        <f>SUM(G109:G114)</f>
        <v>0</v>
      </c>
      <c r="H115" s="68">
        <f t="shared" si="6"/>
        <v>2640368.9300000002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160814.30000000002</v>
      </c>
      <c r="D118" s="23" t="s">
        <v>288</v>
      </c>
      <c r="E118" s="73">
        <f>+('DOE25'!L282)+('DOE25'!L301)+('DOE25'!L320)</f>
        <v>0</v>
      </c>
      <c r="F118" s="23" t="s">
        <v>288</v>
      </c>
      <c r="G118" s="23" t="s">
        <v>288</v>
      </c>
      <c r="H118" s="13">
        <f t="shared" ref="H118:H145" si="7">SUM(C118:G118)</f>
        <v>160814.30000000002</v>
      </c>
    </row>
    <row r="119" spans="1:8" x14ac:dyDescent="0.2">
      <c r="A119" t="s">
        <v>208</v>
      </c>
      <c r="B119" s="31" t="s">
        <v>209</v>
      </c>
      <c r="C119" s="73">
        <f>('DOE25'!L204)+('DOE25'!L222)+('DOE25'!L240)</f>
        <v>31345.02</v>
      </c>
      <c r="D119" s="23" t="s">
        <v>288</v>
      </c>
      <c r="E119" s="73">
        <f>+('DOE25'!L283)+('DOE25'!L302)+('DOE25'!L321)</f>
        <v>13622.1</v>
      </c>
      <c r="F119" s="23" t="s">
        <v>288</v>
      </c>
      <c r="G119" s="23" t="s">
        <v>288</v>
      </c>
      <c r="H119" s="13">
        <f t="shared" si="7"/>
        <v>44967.12</v>
      </c>
    </row>
    <row r="120" spans="1:8" x14ac:dyDescent="0.2">
      <c r="A120" t="s">
        <v>210</v>
      </c>
      <c r="B120" s="31" t="s">
        <v>211</v>
      </c>
      <c r="C120" s="73">
        <f>('DOE25'!L205)+('DOE25'!L223)+('DOE25'!L241)</f>
        <v>186990.71</v>
      </c>
      <c r="D120" s="23" t="s">
        <v>288</v>
      </c>
      <c r="E120" s="73">
        <f>+('DOE25'!L284)+('DOE25'!L303)+('DOE25'!L322)</f>
        <v>3445.11</v>
      </c>
      <c r="F120" s="23" t="s">
        <v>288</v>
      </c>
      <c r="G120" s="23" t="s">
        <v>288</v>
      </c>
      <c r="H120" s="13">
        <f t="shared" si="7"/>
        <v>190435.81999999998</v>
      </c>
    </row>
    <row r="121" spans="1:8" x14ac:dyDescent="0.2">
      <c r="A121" t="s">
        <v>212</v>
      </c>
      <c r="B121" s="31" t="s">
        <v>213</v>
      </c>
      <c r="C121" s="73">
        <f>('DOE25'!L206)+('DOE25'!L224)+('DOE25'!L242)</f>
        <v>220010.04</v>
      </c>
      <c r="D121" s="23" t="s">
        <v>288</v>
      </c>
      <c r="E121" s="73">
        <f>+('DOE25'!L285)+('DOE25'!L304)+('DOE25'!L323)</f>
        <v>0</v>
      </c>
      <c r="F121" s="23" t="s">
        <v>288</v>
      </c>
      <c r="G121" s="23" t="s">
        <v>288</v>
      </c>
      <c r="H121" s="13">
        <f t="shared" si="7"/>
        <v>220010.04</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162841.13999999998</v>
      </c>
      <c r="D123" s="23" t="s">
        <v>288</v>
      </c>
      <c r="E123" s="73">
        <f>+('DOE25'!L287)+('DOE25'!L306)+('DOE25'!L325)</f>
        <v>15732</v>
      </c>
      <c r="F123" s="23" t="s">
        <v>288</v>
      </c>
      <c r="G123" s="23" t="s">
        <v>288</v>
      </c>
      <c r="H123" s="13">
        <f t="shared" si="7"/>
        <v>178573.13999999998</v>
      </c>
    </row>
    <row r="124" spans="1:8" x14ac:dyDescent="0.2">
      <c r="A124" t="s">
        <v>218</v>
      </c>
      <c r="B124" s="31" t="s">
        <v>219</v>
      </c>
      <c r="C124" s="73">
        <f>('DOE25'!L209)+('DOE25'!L227)+('DOE25'!L245+'DOE25'!L255)</f>
        <v>131784.79999999999</v>
      </c>
      <c r="D124" s="23" t="s">
        <v>288</v>
      </c>
      <c r="E124" s="73">
        <f>+('DOE25'!L288)+('DOE25'!L307)+('DOE25'!L326)</f>
        <v>0</v>
      </c>
      <c r="F124" s="23" t="s">
        <v>288</v>
      </c>
      <c r="G124" s="23" t="s">
        <v>288</v>
      </c>
      <c r="H124" s="13">
        <f t="shared" si="7"/>
        <v>131784.79999999999</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54333.51</v>
      </c>
      <c r="E127" s="23" t="s">
        <v>288</v>
      </c>
      <c r="F127" s="23" t="s">
        <v>288</v>
      </c>
      <c r="G127" s="23" t="s">
        <v>288</v>
      </c>
      <c r="H127" s="13">
        <f t="shared" si="7"/>
        <v>54333.51</v>
      </c>
    </row>
    <row r="128" spans="1:8" ht="12.75" thickTop="1" thickBot="1" x14ac:dyDescent="0.25">
      <c r="A128" s="32" t="s">
        <v>226</v>
      </c>
      <c r="C128" s="68">
        <f>SUM(C118:C127)</f>
        <v>893786.01</v>
      </c>
      <c r="D128" s="68">
        <f>SUM(D118:D127)</f>
        <v>54333.51</v>
      </c>
      <c r="E128" s="68">
        <f>SUM(E118:E127)</f>
        <v>32799.21</v>
      </c>
      <c r="F128" s="68">
        <f>SUM(F118:F127)</f>
        <v>0</v>
      </c>
      <c r="G128" s="68">
        <f>SUM(G118:G127)</f>
        <v>0</v>
      </c>
      <c r="H128" s="68">
        <f t="shared" si="7"/>
        <v>980918.73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13216.34</v>
      </c>
      <c r="D139" s="23" t="s">
        <v>288</v>
      </c>
      <c r="E139" s="23" t="s">
        <v>288</v>
      </c>
      <c r="F139" s="23" t="s">
        <v>288</v>
      </c>
      <c r="G139" s="23" t="s">
        <v>288</v>
      </c>
      <c r="H139" s="13">
        <f t="shared" si="7"/>
        <v>13216.34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-13216.34</v>
      </c>
      <c r="D141" s="23" t="s">
        <v>288</v>
      </c>
      <c r="E141" s="23" t="s">
        <v>288</v>
      </c>
      <c r="F141" s="23" t="s">
        <v>288</v>
      </c>
      <c r="G141" s="23" t="s">
        <v>288</v>
      </c>
      <c r="H141" s="13">
        <f t="shared" si="7"/>
        <v>-13216.34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0</v>
      </c>
      <c r="D144" s="98">
        <f>SUM(D130:D143)</f>
        <v>0</v>
      </c>
      <c r="E144" s="98">
        <f>SUM(E130:E143)</f>
        <v>0</v>
      </c>
      <c r="F144" s="98">
        <f>SUM(F130:F143)</f>
        <v>0</v>
      </c>
      <c r="G144" s="98">
        <f>SUM(G130:G143)</f>
        <v>0</v>
      </c>
      <c r="H144" s="98">
        <f t="shared" si="7"/>
        <v>0</v>
      </c>
    </row>
    <row r="145" spans="1:9" ht="12.75" thickTop="1" thickBot="1" x14ac:dyDescent="0.25">
      <c r="A145" s="32" t="s">
        <v>244</v>
      </c>
      <c r="C145" s="68">
        <f>(C115+C128+C144)</f>
        <v>3432069</v>
      </c>
      <c r="D145" s="68">
        <f>(D115+D128+D144)</f>
        <v>54333.51</v>
      </c>
      <c r="E145" s="68">
        <f>(E115+E128+E144)</f>
        <v>134885.15</v>
      </c>
      <c r="F145" s="68">
        <f>(F115+F128+F144)</f>
        <v>0</v>
      </c>
      <c r="G145" s="68">
        <f>(G115+G128+G144)</f>
        <v>0</v>
      </c>
      <c r="H145" s="68">
        <f t="shared" si="7"/>
        <v>3621287.6599999997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Stoddard</v>
      </c>
    </row>
    <row r="3" spans="1:4" x14ac:dyDescent="0.2">
      <c r="B3" s="136" t="s">
        <v>1792</v>
      </c>
    </row>
    <row r="4" spans="1:4" x14ac:dyDescent="0.2">
      <c r="B4" t="s">
        <v>61</v>
      </c>
      <c r="C4" s="128">
        <f>IF('DOE25'!F666+'DOE25'!F671=0,0,ROUND('DOE25'!F673,0))</f>
        <v>27257</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27257</v>
      </c>
    </row>
    <row r="9" spans="1:4" x14ac:dyDescent="0.2">
      <c r="A9" s="135" t="s">
        <v>94</v>
      </c>
      <c r="B9" s="136" t="s">
        <v>1793</v>
      </c>
      <c r="C9" s="130" t="s">
        <v>720</v>
      </c>
      <c r="D9" s="130" t="s">
        <v>721</v>
      </c>
    </row>
    <row r="10" spans="1:4" x14ac:dyDescent="0.2">
      <c r="A10">
        <v>1100</v>
      </c>
      <c r="B10" t="s">
        <v>702</v>
      </c>
      <c r="C10" s="128">
        <f>ROUND('DOE25'!L198+'DOE25'!L216+'DOE25'!L234+'DOE25'!L277+'DOE25'!L296+'DOE25'!L315,0)</f>
        <v>1694138</v>
      </c>
      <c r="D10" s="131">
        <f>ROUND((C10/$C$28)*100,1)</f>
        <v>46.9</v>
      </c>
    </row>
    <row r="11" spans="1:4" x14ac:dyDescent="0.2">
      <c r="A11">
        <v>1200</v>
      </c>
      <c r="B11" t="s">
        <v>703</v>
      </c>
      <c r="C11" s="128">
        <f>ROUND('DOE25'!L199+'DOE25'!L217+'DOE25'!L235+'DOE25'!L278+'DOE25'!L297+'DOE25'!L316,0)</f>
        <v>945361</v>
      </c>
      <c r="D11" s="131">
        <f>ROUND((C11/$C$28)*100,1)</f>
        <v>26.2</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870</v>
      </c>
      <c r="D13" s="131">
        <f>ROUND((C13/$C$28)*100,1)</f>
        <v>0</v>
      </c>
    </row>
    <row r="14" spans="1:4" x14ac:dyDescent="0.2">
      <c r="D14" s="131"/>
    </row>
    <row r="15" spans="1:4" x14ac:dyDescent="0.2">
      <c r="A15">
        <v>2100</v>
      </c>
      <c r="B15" t="s">
        <v>706</v>
      </c>
      <c r="C15" s="128">
        <f>ROUND('DOE25'!L203+'DOE25'!L221+'DOE25'!L239+'DOE25'!L282+'DOE25'!L301+'DOE25'!L320,0)</f>
        <v>160814</v>
      </c>
      <c r="D15" s="131">
        <f t="shared" ref="D15:D27" si="0">ROUND((C15/$C$28)*100,1)</f>
        <v>4.5</v>
      </c>
    </row>
    <row r="16" spans="1:4" x14ac:dyDescent="0.2">
      <c r="A16">
        <v>2200</v>
      </c>
      <c r="B16" t="s">
        <v>707</v>
      </c>
      <c r="C16" s="128">
        <f>ROUND('DOE25'!L204+'DOE25'!L222+'DOE25'!L240+'DOE25'!L283+'DOE25'!L302+'DOE25'!L321,0)</f>
        <v>44967</v>
      </c>
      <c r="D16" s="131">
        <f t="shared" si="0"/>
        <v>1.2</v>
      </c>
    </row>
    <row r="17" spans="1:4" x14ac:dyDescent="0.2">
      <c r="A17" s="132" t="s">
        <v>723</v>
      </c>
      <c r="B17" t="s">
        <v>738</v>
      </c>
      <c r="C17" s="128">
        <f>ROUND('DOE25'!L205+'DOE25'!L210+'DOE25'!L223+'DOE25'!L228+'DOE25'!L241+'DOE25'!L246+'DOE25'!L284+'DOE25'!L289+'DOE25'!L303+'DOE25'!L308+'DOE25'!L322+'DOE25'!L327,0)</f>
        <v>190436</v>
      </c>
      <c r="D17" s="131">
        <f t="shared" si="0"/>
        <v>5.3</v>
      </c>
    </row>
    <row r="18" spans="1:4" x14ac:dyDescent="0.2">
      <c r="A18">
        <v>2400</v>
      </c>
      <c r="B18" t="s">
        <v>711</v>
      </c>
      <c r="C18" s="128">
        <f>ROUND('DOE25'!L206+'DOE25'!L224+'DOE25'!L242+'DOE25'!L285+'DOE25'!L304+'DOE25'!L323,0)</f>
        <v>220010</v>
      </c>
      <c r="D18" s="131">
        <f t="shared" si="0"/>
        <v>6.1</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178573</v>
      </c>
      <c r="D20" s="131">
        <f t="shared" si="0"/>
        <v>4.9000000000000004</v>
      </c>
    </row>
    <row r="21" spans="1:4" x14ac:dyDescent="0.2">
      <c r="A21">
        <v>2700</v>
      </c>
      <c r="B21" t="s">
        <v>710</v>
      </c>
      <c r="C21" s="128">
        <f>ROUND('DOE25'!L209+'DOE25'!L227+'DOE25'!L245+'DOE25'!L288+'DOE25'!L307+'DOE25'!L326,0)</f>
        <v>131785</v>
      </c>
      <c r="D21" s="131">
        <f t="shared" si="0"/>
        <v>3.7</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43265.4</v>
      </c>
      <c r="D27" s="131">
        <f t="shared" si="0"/>
        <v>1.2</v>
      </c>
    </row>
    <row r="28" spans="1:4" x14ac:dyDescent="0.2">
      <c r="B28" s="135" t="s">
        <v>719</v>
      </c>
      <c r="C28" s="129">
        <f>SUM(C10:C27)</f>
        <v>3610219.4</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3610219.4</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2576788</v>
      </c>
      <c r="D35" s="131">
        <f t="shared" ref="D35:D40" si="1">ROUND((C35/$C$41)*100,1)</f>
        <v>72.599999999999994</v>
      </c>
    </row>
    <row r="36" spans="1:4" x14ac:dyDescent="0.2">
      <c r="B36" s="71" t="s">
        <v>739</v>
      </c>
      <c r="C36" s="128">
        <f>SUM('DOE25'!F112:J112)-SUM('DOE25'!G97:G110)+('DOE25'!F175+'DOE25'!F176+'DOE25'!I175+'DOE25'!I176)-C35</f>
        <v>46735.040000000037</v>
      </c>
      <c r="D36" s="131">
        <f t="shared" si="1"/>
        <v>1.3</v>
      </c>
    </row>
    <row r="37" spans="1:4" x14ac:dyDescent="0.2">
      <c r="A37" s="132" t="s">
        <v>831</v>
      </c>
      <c r="B37" s="71" t="s">
        <v>728</v>
      </c>
      <c r="C37" s="128">
        <f>ROUND('DOE25'!F117+'DOE25'!F118,0)</f>
        <v>773494</v>
      </c>
      <c r="D37" s="131">
        <f t="shared" si="1"/>
        <v>21.8</v>
      </c>
    </row>
    <row r="38" spans="1:4" x14ac:dyDescent="0.2">
      <c r="A38" s="132" t="s">
        <v>734</v>
      </c>
      <c r="B38" s="71" t="s">
        <v>729</v>
      </c>
      <c r="C38" s="128">
        <f>ROUND(SUM('DOE25'!F140:J140)-SUM('DOE25'!F117:F119),0)</f>
        <v>2435</v>
      </c>
      <c r="D38" s="131">
        <f t="shared" si="1"/>
        <v>0.1</v>
      </c>
    </row>
    <row r="39" spans="1:4" x14ac:dyDescent="0.2">
      <c r="A39">
        <v>4000</v>
      </c>
      <c r="B39" s="71" t="s">
        <v>730</v>
      </c>
      <c r="C39" s="128">
        <f>ROUND('DOE25'!F170+'DOE25'!G170+'DOE25'!H170+'DOE25'!I170,0)</f>
        <v>148152</v>
      </c>
      <c r="D39" s="131">
        <f t="shared" si="1"/>
        <v>4.2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3547604.04</v>
      </c>
      <c r="D41" s="133">
        <f>SUM(D35:D40)</f>
        <v>99.999999999999986</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7" sqref="C17:M17"/>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Stoddard</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t="s">
        <v>1841</v>
      </c>
      <c r="D4" s="332"/>
      <c r="E4" s="332"/>
      <c r="F4" s="332"/>
      <c r="G4" s="332"/>
      <c r="H4" s="332"/>
      <c r="I4" s="332"/>
      <c r="J4" s="332"/>
      <c r="K4" s="332"/>
      <c r="L4" s="332"/>
      <c r="M4" s="333"/>
    </row>
    <row r="5" spans="1:13" x14ac:dyDescent="0.2">
      <c r="A5" s="158"/>
      <c r="B5" s="149"/>
      <c r="C5" s="332" t="s">
        <v>1842</v>
      </c>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143</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f>IF('School Level Expenditures'!$B$2=A146,'School Tables'!H146,"")</f>
        <v>143</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2024-10-08T18:17:22Z</dcterms:modified>
</cp:coreProperties>
</file>