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5768F23D-B141-4A4B-8B3F-676EECEE7A37}"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99" i="1" l="1"/>
  <c r="F473" i="1"/>
  <c r="F469" i="1"/>
  <c r="G580" i="1" l="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8" i="2"/>
  <c r="H140" i="2"/>
  <c r="H142" i="2"/>
  <c r="P2" i="14"/>
  <c r="O2" i="14"/>
  <c r="Q45" i="14"/>
  <c r="P45" i="14"/>
  <c r="O45" i="14"/>
  <c r="N45" i="14"/>
  <c r="M45" i="14"/>
  <c r="L45" i="14"/>
  <c r="K45" i="14"/>
  <c r="Q34" i="14"/>
  <c r="P34" i="14"/>
  <c r="O34" i="14"/>
  <c r="N34" i="14"/>
  <c r="M34" i="14"/>
  <c r="L34" i="14"/>
  <c r="K34" i="14"/>
  <c r="Q21" i="14"/>
  <c r="P21" i="14"/>
  <c r="O21" i="14"/>
  <c r="N21" i="14"/>
  <c r="M21" i="14"/>
  <c r="L21" i="14"/>
  <c r="K21" i="14"/>
  <c r="I662" i="1"/>
  <c r="C2" i="1"/>
  <c r="B2" i="1"/>
  <c r="P3" i="14" l="1"/>
  <c r="O3" i="14"/>
  <c r="G42" i="13"/>
  <c r="H135" i="2"/>
  <c r="H136" i="2"/>
  <c r="H143" i="2"/>
  <c r="H134" i="2"/>
  <c r="H132" i="2"/>
  <c r="H131" i="2"/>
  <c r="H127" i="2"/>
  <c r="H123" i="2"/>
  <c r="H125" i="2"/>
  <c r="H111" i="2"/>
  <c r="H112" i="2"/>
  <c r="H113" i="2"/>
  <c r="H114" i="2"/>
  <c r="H97" i="2"/>
  <c r="H98" i="2"/>
  <c r="H99" i="2"/>
  <c r="H100" i="2"/>
  <c r="H101" i="2"/>
  <c r="H102" i="2"/>
  <c r="H103" i="2"/>
  <c r="H96" i="2"/>
  <c r="H94" i="2"/>
  <c r="H93" i="2"/>
  <c r="H89" i="2"/>
  <c r="H90" i="2"/>
  <c r="H87" i="2"/>
  <c r="H85" i="2"/>
  <c r="H73" i="2"/>
  <c r="H74" i="2"/>
  <c r="H76" i="2"/>
  <c r="H77" i="2"/>
  <c r="H79" i="2"/>
  <c r="H80" i="2"/>
  <c r="H72" i="2"/>
  <c r="H57" i="2"/>
  <c r="H58" i="2"/>
  <c r="H60" i="2"/>
  <c r="H61" i="2"/>
  <c r="H48" i="2"/>
  <c r="H47" i="2"/>
  <c r="H45" i="2"/>
  <c r="H40" i="2"/>
  <c r="H39" i="2"/>
  <c r="H38" i="2"/>
  <c r="H36" i="2"/>
  <c r="H35" i="2"/>
  <c r="H34" i="2"/>
  <c r="H22" i="2"/>
  <c r="H24" i="2"/>
  <c r="H25" i="2"/>
  <c r="H26" i="2"/>
  <c r="H27" i="2"/>
  <c r="H28" i="2"/>
  <c r="H29" i="2"/>
  <c r="H30" i="2"/>
  <c r="H21" i="2"/>
  <c r="H9" i="2"/>
  <c r="H10" i="2"/>
  <c r="H13"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H88" i="2" s="1"/>
  <c r="D88" i="2"/>
  <c r="C88" i="2"/>
  <c r="I163" i="1"/>
  <c r="H163" i="1"/>
  <c r="G163" i="1"/>
  <c r="F163" i="1"/>
  <c r="B31" i="16" l="1"/>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AF59" i="15" s="1"/>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61" i="15" l="1"/>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D39" i="2"/>
  <c r="G656" i="1"/>
  <c r="F48" i="2"/>
  <c r="E48" i="2"/>
  <c r="D48" i="2"/>
  <c r="C48" i="2"/>
  <c r="F47" i="2"/>
  <c r="E47" i="2"/>
  <c r="D47" i="2"/>
  <c r="C47" i="2"/>
  <c r="F44" i="2"/>
  <c r="E44" i="2"/>
  <c r="D44" i="2"/>
  <c r="C44" i="2"/>
  <c r="H44" i="2" s="1"/>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C10" i="2"/>
  <c r="C11" i="2"/>
  <c r="D11" i="2"/>
  <c r="E11" i="2"/>
  <c r="F11" i="2"/>
  <c r="I442" i="1"/>
  <c r="J12" i="1" s="1"/>
  <c r="G11" i="2" s="1"/>
  <c r="H11" i="2" s="1"/>
  <c r="C12" i="2"/>
  <c r="H12" i="2" s="1"/>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H59" i="2" s="1"/>
  <c r="D59" i="2"/>
  <c r="E59" i="2"/>
  <c r="F59" i="2"/>
  <c r="D60" i="2"/>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2" i="1"/>
  <c r="J652" i="1" s="1"/>
  <c r="H653" i="1"/>
  <c r="G654" i="1"/>
  <c r="H654" i="1"/>
  <c r="H655" i="1"/>
  <c r="H656" i="1"/>
  <c r="I170" i="1"/>
  <c r="H477" i="1" l="1"/>
  <c r="H625" i="1" s="1"/>
  <c r="J625" i="1" s="1"/>
  <c r="K36" i="14"/>
  <c r="K37" i="14" s="1"/>
  <c r="G663" i="1"/>
  <c r="D15" i="13"/>
  <c r="C15" i="13" s="1"/>
  <c r="E13" i="13"/>
  <c r="C13" i="13" s="1"/>
  <c r="C120" i="2"/>
  <c r="H120" i="2"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H62" i="2" s="1"/>
  <c r="G22" i="13"/>
  <c r="C22" i="13" s="1"/>
  <c r="L540" i="1"/>
  <c r="K504" i="1"/>
  <c r="L383" i="1"/>
  <c r="G637" i="1" s="1"/>
  <c r="J637" i="1" s="1"/>
  <c r="G258" i="1"/>
  <c r="G272" i="1" s="1"/>
  <c r="C142" i="2"/>
  <c r="C111" i="2"/>
  <c r="H662" i="1"/>
  <c r="C15" i="10"/>
  <c r="A13" i="12"/>
  <c r="C29" i="13"/>
  <c r="D12" i="13"/>
  <c r="C12" i="13" s="1"/>
  <c r="D5" i="13"/>
  <c r="C5" i="13" s="1"/>
  <c r="E8" i="13"/>
  <c r="C8" i="13" s="1"/>
  <c r="C35" i="10"/>
  <c r="C29" i="10"/>
  <c r="G650" i="1"/>
  <c r="J650" i="1" s="1"/>
  <c r="L545" i="1"/>
  <c r="L525" i="1"/>
  <c r="J339" i="1"/>
  <c r="J353" i="1" s="1"/>
  <c r="D127" i="2"/>
  <c r="D128" i="2" s="1"/>
  <c r="D145" i="2" s="1"/>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H31" i="2" s="1"/>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J51" i="1"/>
  <c r="G16" i="2"/>
  <c r="G18" i="2" s="1"/>
  <c r="J19" i="1"/>
  <c r="G622" i="1" s="1"/>
  <c r="F546" i="1"/>
  <c r="H435" i="1"/>
  <c r="D103" i="2"/>
  <c r="I140" i="1"/>
  <c r="A22" i="12"/>
  <c r="J653" i="1"/>
  <c r="G572" i="1"/>
  <c r="I435" i="1"/>
  <c r="G435" i="1"/>
  <c r="I664" i="1"/>
  <c r="I663" i="1" l="1"/>
  <c r="G50" i="2"/>
  <c r="H50" i="2" s="1"/>
  <c r="H42" i="2"/>
  <c r="H18" i="2"/>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28" i="10"/>
  <c r="D23" i="10" s="1"/>
  <c r="C51" i="2"/>
  <c r="H51" i="2" s="1"/>
  <c r="G632" i="1"/>
  <c r="J632" i="1" s="1"/>
  <c r="G194" i="1"/>
  <c r="G629" i="1" s="1"/>
  <c r="J629" i="1" s="1"/>
  <c r="G627" i="1"/>
  <c r="J627" i="1" s="1"/>
  <c r="J52" i="1"/>
  <c r="H622" i="1" s="1"/>
  <c r="J622" i="1" s="1"/>
  <c r="C38" i="10"/>
  <c r="C144" i="2" l="1"/>
  <c r="C145" i="2" s="1"/>
  <c r="H141" i="2"/>
  <c r="C104" i="2"/>
  <c r="H104" i="2" s="1"/>
  <c r="H63"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<sst xmlns="http://schemas.openxmlformats.org/spreadsheetml/2006/main" count="6638" uniqueCount="1841">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</sst>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F44" sqref="F44"/>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1755</v>
      </c>
      <c r="B2">
        <f>INDEX('School Tables'!$AH$3:$AH$213,MATCH('DOE25'!A2,'School Tables'!$AJ$3:$AJ$213,0))</f>
        <v>513</v>
      </c>
      <c r="C2">
        <f>INDEX('School Tables'!$AI$3:$AI$213,MATCH('DOE25'!A2,'School Tables'!$AJ$3:$AJ$213,0))</f>
        <v>513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197061</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286637</v>
      </c>
      <c r="K12" s="23" t="s">
        <v>288</v>
      </c>
      <c r="L12" s="23" t="s">
        <v>288</v>
      </c>
      <c r="M12" s="8"/>
      <c r="N12" s="164"/>
    </row>
    <row r="13" spans="1:14" s="3" customFormat="1" ht="12.2" customHeight="1" x14ac:dyDescent="0.15">
      <c r="A13" s="1" t="s">
        <v>604</v>
      </c>
      <c r="B13" s="2" t="s">
        <v>289</v>
      </c>
      <c r="C13" s="6">
        <v>5</v>
      </c>
      <c r="D13" s="2" t="s">
        <v>428</v>
      </c>
      <c r="E13" s="6">
        <v>140</v>
      </c>
      <c r="F13" s="18">
        <v>2402</v>
      </c>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199463</v>
      </c>
      <c r="G19" s="38">
        <f>SUM(G9:G18)</f>
        <v>0</v>
      </c>
      <c r="H19" s="38">
        <f>SUM(H9:H18)</f>
        <v>0</v>
      </c>
      <c r="I19" s="38">
        <f>SUM(I9:I18)</f>
        <v>0</v>
      </c>
      <c r="J19" s="38">
        <f>SUM(J9:J18)</f>
        <v>286637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2000</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2000</v>
      </c>
      <c r="G32" s="38">
        <f>SUM(G22:G31)</f>
        <v>0</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286637</v>
      </c>
      <c r="K43" s="23" t="s">
        <v>288</v>
      </c>
      <c r="L43" s="23" t="s">
        <v>288</v>
      </c>
      <c r="M43" s="8"/>
      <c r="N43" s="164"/>
    </row>
    <row r="44" spans="1:14" s="3" customFormat="1" ht="12.2" customHeight="1" x14ac:dyDescent="0.15">
      <c r="A44" s="1" t="s">
        <v>833</v>
      </c>
      <c r="B44" s="6">
        <v>1</v>
      </c>
      <c r="C44" s="6">
        <v>30</v>
      </c>
      <c r="D44" s="2" t="s">
        <v>653</v>
      </c>
      <c r="E44" s="6">
        <v>755</v>
      </c>
      <c r="F44" s="18">
        <v>25000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172463</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197463</v>
      </c>
      <c r="G51" s="38">
        <f>SUM(G35:G50)</f>
        <v>0</v>
      </c>
      <c r="H51" s="38">
        <f>SUM(H35:H50)</f>
        <v>0</v>
      </c>
      <c r="I51" s="38">
        <f>SUM(I35:I50)</f>
        <v>0</v>
      </c>
      <c r="J51" s="38">
        <f>SUM(J35:J50)</f>
        <v>286637</v>
      </c>
      <c r="K51" s="42" t="s">
        <v>288</v>
      </c>
      <c r="L51" s="42" t="s">
        <v>288</v>
      </c>
      <c r="N51" s="130"/>
    </row>
    <row r="52" spans="1:14" s="3" customFormat="1" ht="12.2" customHeight="1" thickTop="1" x14ac:dyDescent="0.15">
      <c r="A52" s="35" t="s">
        <v>455</v>
      </c>
      <c r="B52" s="36" t="s">
        <v>289</v>
      </c>
      <c r="C52" s="6">
        <v>37</v>
      </c>
      <c r="D52" s="36" t="s">
        <v>653</v>
      </c>
      <c r="E52" s="36"/>
      <c r="F52" s="38">
        <f>F51+F32</f>
        <v>199463</v>
      </c>
      <c r="G52" s="38">
        <f>G51+G32</f>
        <v>0</v>
      </c>
      <c r="H52" s="38">
        <f>H51+H32</f>
        <v>0</v>
      </c>
      <c r="I52" s="38">
        <f>I51+I32</f>
        <v>0</v>
      </c>
      <c r="J52" s="38">
        <f>J51+J32</f>
        <v>286637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1253119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1253119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5600</v>
      </c>
      <c r="G96" s="18"/>
      <c r="H96" s="18"/>
      <c r="I96" s="18"/>
      <c r="J96" s="18">
        <v>20009</v>
      </c>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5600</v>
      </c>
      <c r="G111" s="38">
        <f>SUM(G96:G110)</f>
        <v>0</v>
      </c>
      <c r="H111" s="38">
        <f>SUM(H96:H110)</f>
        <v>0</v>
      </c>
      <c r="I111" s="38">
        <f>SUM(I96:I110)</f>
        <v>0</v>
      </c>
      <c r="J111" s="38">
        <f>SUM(J96:J110)</f>
        <v>20009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1258719</v>
      </c>
      <c r="G112" s="38">
        <f>G60+G111</f>
        <v>0</v>
      </c>
      <c r="H112" s="38">
        <f>H60+H79+H94+H111</f>
        <v>0</v>
      </c>
      <c r="I112" s="38">
        <f>I60+I111</f>
        <v>0</v>
      </c>
      <c r="J112" s="38">
        <f>J60+J111</f>
        <v>20009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741767</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109414</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2037</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853218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19339</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19339</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872557</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25084</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25084</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25084</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2131276</v>
      </c>
      <c r="G194" s="38">
        <f>G112+G140+G170+G193</f>
        <v>0</v>
      </c>
      <c r="H194" s="38">
        <f>H112+H140+H170+H193</f>
        <v>25084</v>
      </c>
      <c r="I194" s="38">
        <f>I112+I140+I170+I193</f>
        <v>0</v>
      </c>
      <c r="J194" s="38">
        <f>J112+J140+J193</f>
        <v>20009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v>653173</v>
      </c>
      <c r="I198" s="18"/>
      <c r="J198" s="18"/>
      <c r="K198" s="18"/>
      <c r="L198" s="13">
        <f>SUM(F198:K198)</f>
        <v>653173</v>
      </c>
      <c r="M198" s="8"/>
      <c r="N198" s="164"/>
    </row>
    <row r="199" spans="1:14" s="3" customFormat="1" ht="12.2" customHeight="1" x14ac:dyDescent="0.15">
      <c r="A199" s="1" t="s">
        <v>439</v>
      </c>
      <c r="B199" s="2" t="s">
        <v>341</v>
      </c>
      <c r="C199" s="2" t="s">
        <v>291</v>
      </c>
      <c r="D199" s="2" t="s">
        <v>431</v>
      </c>
      <c r="E199" s="6">
        <v>1200</v>
      </c>
      <c r="F199" s="18"/>
      <c r="G199" s="18"/>
      <c r="H199" s="18">
        <f>248901+19339</f>
        <v>268240</v>
      </c>
      <c r="I199" s="18"/>
      <c r="J199" s="18"/>
      <c r="K199" s="18"/>
      <c r="L199" s="13">
        <f>SUM(F199:K199)</f>
        <v>268240</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c r="G205" s="18"/>
      <c r="H205" s="18">
        <v>24386</v>
      </c>
      <c r="I205" s="18"/>
      <c r="J205" s="18"/>
      <c r="K205" s="18"/>
      <c r="L205" s="13">
        <f t="shared" si="0"/>
        <v>24386</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v>7492</v>
      </c>
      <c r="I207" s="18"/>
      <c r="J207" s="18"/>
      <c r="K207" s="18"/>
      <c r="L207" s="13">
        <f t="shared" si="0"/>
        <v>7492</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v>102339</v>
      </c>
      <c r="I209" s="18"/>
      <c r="J209" s="18"/>
      <c r="K209" s="18"/>
      <c r="L209" s="13">
        <f t="shared" si="0"/>
        <v>102339</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1055630</v>
      </c>
      <c r="I212" s="38">
        <f t="shared" si="1"/>
        <v>0</v>
      </c>
      <c r="J212" s="38">
        <f t="shared" si="1"/>
        <v>0</v>
      </c>
      <c r="K212" s="38">
        <f t="shared" si="1"/>
        <v>0</v>
      </c>
      <c r="L212" s="38">
        <f t="shared" si="1"/>
        <v>1055630</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180138</v>
      </c>
      <c r="I216" s="18"/>
      <c r="J216" s="18"/>
      <c r="K216" s="18"/>
      <c r="L216" s="13">
        <f>SUM(F216:K216)</f>
        <v>180138</v>
      </c>
      <c r="M216" s="8"/>
      <c r="N216" s="164"/>
    </row>
    <row r="217" spans="1:14" s="3" customFormat="1" ht="12.2" customHeight="1" x14ac:dyDescent="0.15">
      <c r="A217" s="1" t="s">
        <v>439</v>
      </c>
      <c r="B217" s="2" t="s">
        <v>346</v>
      </c>
      <c r="C217" s="2" t="s">
        <v>291</v>
      </c>
      <c r="D217" s="2" t="s">
        <v>431</v>
      </c>
      <c r="E217" s="6">
        <v>1200</v>
      </c>
      <c r="F217" s="18"/>
      <c r="G217" s="18"/>
      <c r="H217" s="18">
        <v>137713</v>
      </c>
      <c r="I217" s="18"/>
      <c r="J217" s="18"/>
      <c r="K217" s="18"/>
      <c r="L217" s="13">
        <f>SUM(F217:K217)</f>
        <v>137713</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v>7172</v>
      </c>
      <c r="I223" s="18"/>
      <c r="J223" s="18"/>
      <c r="K223" s="18"/>
      <c r="L223" s="13">
        <f t="shared" si="2"/>
        <v>7172</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v>2204</v>
      </c>
      <c r="I225" s="18"/>
      <c r="J225" s="18"/>
      <c r="K225" s="18"/>
      <c r="L225" s="13">
        <f t="shared" si="2"/>
        <v>2204</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v>30098</v>
      </c>
      <c r="I227" s="18"/>
      <c r="J227" s="18"/>
      <c r="K227" s="18"/>
      <c r="L227" s="13">
        <f t="shared" si="2"/>
        <v>30098</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357325</v>
      </c>
      <c r="I230" s="38">
        <f>SUM(I216:I229)</f>
        <v>0</v>
      </c>
      <c r="J230" s="38">
        <f>SUM(J216:J229)</f>
        <v>0</v>
      </c>
      <c r="K230" s="38">
        <f t="shared" si="3"/>
        <v>0</v>
      </c>
      <c r="L230" s="38">
        <f t="shared" si="3"/>
        <v>357325</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308921</v>
      </c>
      <c r="I234" s="18"/>
      <c r="J234" s="18"/>
      <c r="K234" s="18"/>
      <c r="L234" s="13">
        <f>SUM(F234:K234)</f>
        <v>308921</v>
      </c>
      <c r="M234" s="8"/>
      <c r="N234" s="164"/>
    </row>
    <row r="235" spans="1:14" s="3" customFormat="1" ht="12.2" customHeight="1" x14ac:dyDescent="0.15">
      <c r="A235" s="1" t="s">
        <v>439</v>
      </c>
      <c r="B235" s="2" t="s">
        <v>350</v>
      </c>
      <c r="C235" s="2" t="s">
        <v>291</v>
      </c>
      <c r="D235" s="2" t="s">
        <v>431</v>
      </c>
      <c r="E235" s="6">
        <v>1200</v>
      </c>
      <c r="F235" s="18"/>
      <c r="G235" s="18"/>
      <c r="H235" s="18">
        <v>132736</v>
      </c>
      <c r="I235" s="18"/>
      <c r="J235" s="18"/>
      <c r="K235" s="18"/>
      <c r="L235" s="13">
        <f>SUM(F235:K235)</f>
        <v>132736</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v>16258</v>
      </c>
      <c r="I241" s="18"/>
      <c r="J241" s="18"/>
      <c r="K241" s="18"/>
      <c r="L241" s="13">
        <f t="shared" si="4"/>
        <v>16258</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v>4995</v>
      </c>
      <c r="I243" s="18"/>
      <c r="J243" s="18"/>
      <c r="K243" s="18"/>
      <c r="L243" s="13">
        <f t="shared" si="4"/>
        <v>4995</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68226</v>
      </c>
      <c r="I245" s="18"/>
      <c r="J245" s="18"/>
      <c r="K245" s="18"/>
      <c r="L245" s="13">
        <f t="shared" si="4"/>
        <v>68226</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531136</v>
      </c>
      <c r="I248" s="38">
        <f t="shared" si="5"/>
        <v>0</v>
      </c>
      <c r="J248" s="38">
        <f t="shared" si="5"/>
        <v>0</v>
      </c>
      <c r="K248" s="38">
        <f t="shared" si="5"/>
        <v>0</v>
      </c>
      <c r="L248" s="38">
        <f t="shared" si="5"/>
        <v>531136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0</v>
      </c>
      <c r="G258" s="38">
        <f t="shared" si="8"/>
        <v>0</v>
      </c>
      <c r="H258" s="38">
        <f t="shared" si="8"/>
        <v>1944091</v>
      </c>
      <c r="I258" s="38">
        <f t="shared" si="8"/>
        <v>0</v>
      </c>
      <c r="J258" s="38">
        <f t="shared" si="8"/>
        <v>0</v>
      </c>
      <c r="K258" s="38">
        <f t="shared" si="8"/>
        <v>0</v>
      </c>
      <c r="L258" s="38">
        <f t="shared" si="8"/>
        <v>1944091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4"/>
    </row>
    <row r="272" spans="1:14" s="33" customFormat="1" ht="12.2" customHeight="1" thickTop="1" x14ac:dyDescent="0.2">
      <c r="A272" s="40" t="s">
        <v>464</v>
      </c>
      <c r="B272" s="37">
        <v>10</v>
      </c>
      <c r="C272" s="37">
        <v>18</v>
      </c>
      <c r="D272" s="36" t="s">
        <v>431</v>
      </c>
      <c r="E272" s="37"/>
      <c r="F272" s="39">
        <f t="shared" ref="F272:L272" si="11">F258+F271</f>
        <v>0</v>
      </c>
      <c r="G272" s="39">
        <f t="shared" si="11"/>
        <v>0</v>
      </c>
      <c r="H272" s="39">
        <f t="shared" si="11"/>
        <v>1944091</v>
      </c>
      <c r="I272" s="39">
        <f t="shared" si="11"/>
        <v>0</v>
      </c>
      <c r="J272" s="39">
        <f t="shared" si="11"/>
        <v>0</v>
      </c>
      <c r="K272" s="39">
        <f t="shared" si="11"/>
        <v>0</v>
      </c>
      <c r="L272" s="39">
        <f t="shared" si="11"/>
        <v>1944091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v>25084</v>
      </c>
      <c r="I278" s="18"/>
      <c r="J278" s="18"/>
      <c r="K278" s="18"/>
      <c r="L278" s="13">
        <f>SUM(F278:K278)</f>
        <v>25084</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25084</v>
      </c>
      <c r="I291" s="39">
        <f t="shared" si="13"/>
        <v>0</v>
      </c>
      <c r="J291" s="39">
        <f t="shared" si="13"/>
        <v>0</v>
      </c>
      <c r="K291" s="39">
        <f t="shared" si="13"/>
        <v>0</v>
      </c>
      <c r="L291" s="38">
        <f t="shared" si="13"/>
        <v>25084</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25084</v>
      </c>
      <c r="I339" s="38">
        <f t="shared" si="20"/>
        <v>0</v>
      </c>
      <c r="J339" s="38">
        <f t="shared" si="20"/>
        <v>0</v>
      </c>
      <c r="K339" s="38">
        <f t="shared" si="20"/>
        <v>0</v>
      </c>
      <c r="L339" s="38">
        <f t="shared" si="20"/>
        <v>25084</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25084</v>
      </c>
      <c r="I353" s="38">
        <f>I339</f>
        <v>0</v>
      </c>
      <c r="J353" s="38">
        <f>J339</f>
        <v>0</v>
      </c>
      <c r="K353" s="38">
        <f>K339+K352</f>
        <v>0</v>
      </c>
      <c r="L353" s="38">
        <f>L339+L352</f>
        <v>25084</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v>20009</v>
      </c>
      <c r="I398" s="18"/>
      <c r="J398" s="23" t="s">
        <v>288</v>
      </c>
      <c r="K398" s="23" t="s">
        <v>288</v>
      </c>
      <c r="L398" s="13">
        <f t="shared" si="26"/>
        <v>20009</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20009</v>
      </c>
      <c r="I402" s="38">
        <f>SUM(I396:I401)</f>
        <v>0</v>
      </c>
      <c r="J402" s="42" t="s">
        <v>288</v>
      </c>
      <c r="K402" s="42" t="s">
        <v>288</v>
      </c>
      <c r="L402" s="38">
        <f>SUM(L396:L401)</f>
        <v>20009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20009</v>
      </c>
      <c r="I409" s="38">
        <f>I394+I402+I408</f>
        <v>0</v>
      </c>
      <c r="J409" s="23" t="s">
        <v>288</v>
      </c>
      <c r="K409" s="23" t="s">
        <v>288</v>
      </c>
      <c r="L409" s="38">
        <f>L394+L402+L408</f>
        <v>20009</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286637</v>
      </c>
      <c r="G442" s="18"/>
      <c r="H442" s="18"/>
      <c r="I442" s="13">
        <f t="shared" si="33"/>
        <v>286637</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286637</v>
      </c>
      <c r="G447" s="13">
        <f>SUM(G440:G446)</f>
        <v>0</v>
      </c>
      <c r="H447" s="13">
        <f>SUM(H440:H446)</f>
        <v>0</v>
      </c>
      <c r="I447" s="13">
        <f>SUM(I440:I446)</f>
        <v>286637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v>286637</v>
      </c>
      <c r="G457" s="18"/>
      <c r="H457" s="18"/>
      <c r="I457" s="13">
        <f t="shared" si="34"/>
        <v>286637</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286637</v>
      </c>
      <c r="G461" s="65">
        <f>SUM(G455:G460)</f>
        <v>0</v>
      </c>
      <c r="H461" s="65">
        <f>SUM(H455:H460)</f>
        <v>0</v>
      </c>
      <c r="I461" s="65">
        <f>SUM(I455:I460)</f>
        <v>286637</v>
      </c>
      <c r="J461" s="23" t="s">
        <v>288</v>
      </c>
      <c r="K461" s="23" t="s">
        <v>288</v>
      </c>
      <c r="L461" s="23" t="s">
        <v>288</v>
      </c>
      <c r="N461" s="130"/>
    </row>
    <row r="462" spans="1:86" ht="12.2" customHeight="1" thickTop="1" x14ac:dyDescent="0.2">
      <c r="A462" s="40" t="s">
        <v>424</v>
      </c>
      <c r="B462" s="41">
        <v>18</v>
      </c>
      <c r="C462" s="64">
        <v>21</v>
      </c>
      <c r="D462" s="114" t="s">
        <v>432</v>
      </c>
      <c r="E462" s="64"/>
      <c r="F462" s="39">
        <f>F453+F461</f>
        <v>286637</v>
      </c>
      <c r="G462" s="39">
        <f>G453+G461</f>
        <v>0</v>
      </c>
      <c r="H462" s="39">
        <f>H453+H461</f>
        <v>0</v>
      </c>
      <c r="I462" s="39">
        <f>I453+I461</f>
        <v>286637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10278</v>
      </c>
      <c r="G466" s="18"/>
      <c r="H466" s="18"/>
      <c r="I466" s="18"/>
      <c r="J466" s="18">
        <v>266628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2145317-14041</f>
        <v>2131276</v>
      </c>
      <c r="G469" s="18"/>
      <c r="H469" s="18">
        <v>25084</v>
      </c>
      <c r="I469" s="18"/>
      <c r="J469" s="18">
        <v>20009</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2131276</v>
      </c>
      <c r="G471" s="19">
        <f>SUM(G469:G470)</f>
        <v>0</v>
      </c>
      <c r="H471" s="19">
        <f>SUM(H469:H470)</f>
        <v>25084</v>
      </c>
      <c r="I471" s="19">
        <f>SUM(I469:I470)</f>
        <v>0</v>
      </c>
      <c r="J471" s="19">
        <f>SUM(J469:J470)</f>
        <v>20009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1958132-35417+2037+19339</f>
        <v>1944091</v>
      </c>
      <c r="G473" s="18"/>
      <c r="H473" s="18">
        <v>25084</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1944091</v>
      </c>
      <c r="G475" s="19">
        <f>SUM(G473:G474)</f>
        <v>0</v>
      </c>
      <c r="H475" s="19">
        <f>SUM(H473:H474)</f>
        <v>25084</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197463</v>
      </c>
      <c r="G477" s="19">
        <f>(G466+G471)- G475</f>
        <v>0</v>
      </c>
      <c r="H477" s="19">
        <f>(H466+H471)- H475</f>
        <v>0</v>
      </c>
      <c r="I477" s="19">
        <f>(I466+I471)- I475</f>
        <v>0</v>
      </c>
      <c r="J477" s="19">
        <f>(J466+J471)- J475</f>
        <v>286637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v>228602</v>
      </c>
      <c r="I522" s="18"/>
      <c r="J522" s="18"/>
      <c r="K522" s="18"/>
      <c r="L522" s="69">
        <f>SUM(F522:K522)</f>
        <v>228602</v>
      </c>
      <c r="N522" s="130"/>
    </row>
    <row r="523" spans="1:14" ht="12.2" customHeight="1" x14ac:dyDescent="0.2">
      <c r="A523" s="21" t="s">
        <v>634</v>
      </c>
      <c r="B523" s="22">
        <v>21</v>
      </c>
      <c r="C523" s="22">
        <v>2</v>
      </c>
      <c r="D523" s="2" t="s">
        <v>432</v>
      </c>
      <c r="E523" s="22"/>
      <c r="F523" s="18"/>
      <c r="G523" s="18"/>
      <c r="H523" s="18">
        <v>166308</v>
      </c>
      <c r="I523" s="18"/>
      <c r="J523" s="18"/>
      <c r="K523" s="18"/>
      <c r="L523" s="69">
        <f>SUM(F523:K523)</f>
        <v>166308</v>
      </c>
      <c r="N523" s="130"/>
    </row>
    <row r="524" spans="1:14" ht="12.2" customHeight="1" thickBot="1" x14ac:dyDescent="0.25">
      <c r="A524" s="21" t="s">
        <v>635</v>
      </c>
      <c r="B524" s="22">
        <v>21</v>
      </c>
      <c r="C524" s="22">
        <v>3</v>
      </c>
      <c r="D524" s="2" t="s">
        <v>432</v>
      </c>
      <c r="E524" s="22"/>
      <c r="F524" s="18"/>
      <c r="G524" s="18"/>
      <c r="H524" s="18">
        <v>132736</v>
      </c>
      <c r="I524" s="18"/>
      <c r="J524" s="18"/>
      <c r="K524" s="18"/>
      <c r="L524" s="69">
        <f>SUM(F524:K524)</f>
        <v>132736</v>
      </c>
      <c r="N524" s="130"/>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527646</v>
      </c>
      <c r="I525" s="81">
        <f t="shared" si="36"/>
        <v>0</v>
      </c>
      <c r="J525" s="81">
        <f t="shared" si="36"/>
        <v>0</v>
      </c>
      <c r="K525" s="81">
        <f t="shared" si="36"/>
        <v>0</v>
      </c>
      <c r="L525" s="70">
        <f t="shared" si="36"/>
        <v>527646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21435</v>
      </c>
      <c r="I542" s="18"/>
      <c r="J542" s="18"/>
      <c r="K542" s="18"/>
      <c r="L542" s="69">
        <f>SUM(F542:K542)</f>
        <v>21435</v>
      </c>
      <c r="M542" s="8"/>
      <c r="N542" s="164"/>
    </row>
    <row r="543" spans="1:14" s="3" customFormat="1" ht="12.2" customHeight="1" x14ac:dyDescent="0.15">
      <c r="A543" s="21" t="s">
        <v>634</v>
      </c>
      <c r="B543" s="22">
        <v>21</v>
      </c>
      <c r="C543" s="22">
        <v>18</v>
      </c>
      <c r="D543" s="2" t="s">
        <v>432</v>
      </c>
      <c r="E543" s="22"/>
      <c r="F543" s="18"/>
      <c r="G543" s="18"/>
      <c r="H543" s="18">
        <v>6304</v>
      </c>
      <c r="I543" s="18"/>
      <c r="J543" s="18"/>
      <c r="K543" s="18"/>
      <c r="L543" s="69">
        <f>SUM(F543:K543)</f>
        <v>6304</v>
      </c>
      <c r="M543" s="8"/>
      <c r="N543" s="164"/>
    </row>
    <row r="544" spans="1:14" s="3" customFormat="1" ht="12.2" customHeight="1" thickBot="1" x14ac:dyDescent="0.2">
      <c r="A544" s="21" t="s">
        <v>635</v>
      </c>
      <c r="B544" s="22">
        <v>21</v>
      </c>
      <c r="C544" s="22">
        <v>19</v>
      </c>
      <c r="D544" s="2" t="s">
        <v>432</v>
      </c>
      <c r="E544" s="22"/>
      <c r="F544" s="18"/>
      <c r="G544" s="18"/>
      <c r="H544" s="18">
        <v>14290</v>
      </c>
      <c r="I544" s="18"/>
      <c r="J544" s="18"/>
      <c r="K544" s="18"/>
      <c r="L544" s="69">
        <f>SUM(F544:K544)</f>
        <v>14290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42029</v>
      </c>
      <c r="I545" s="140">
        <f t="shared" si="40"/>
        <v>0</v>
      </c>
      <c r="J545" s="140">
        <f t="shared" si="40"/>
        <v>0</v>
      </c>
      <c r="K545" s="140">
        <f t="shared" si="40"/>
        <v>0</v>
      </c>
      <c r="L545" s="140">
        <f t="shared" si="40"/>
        <v>42029</v>
      </c>
      <c r="M545" s="8"/>
      <c r="N545" s="164"/>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569675</v>
      </c>
      <c r="I546" s="70">
        <f t="shared" si="41"/>
        <v>0</v>
      </c>
      <c r="J546" s="70">
        <f t="shared" si="41"/>
        <v>0</v>
      </c>
      <c r="K546" s="70">
        <f t="shared" si="41"/>
        <v>0</v>
      </c>
      <c r="L546" s="70">
        <f t="shared" si="41"/>
        <v>569675</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228602</v>
      </c>
      <c r="G550" s="69">
        <f>L527</f>
        <v>0</v>
      </c>
      <c r="H550" s="69">
        <f>L532</f>
        <v>0</v>
      </c>
      <c r="I550" s="69">
        <f>L537</f>
        <v>0</v>
      </c>
      <c r="J550" s="69">
        <f>L542</f>
        <v>21435</v>
      </c>
      <c r="K550" s="69">
        <f>SUM(F550:J550)</f>
        <v>250037</v>
      </c>
      <c r="L550" s="23" t="s">
        <v>288</v>
      </c>
      <c r="M550" s="8"/>
      <c r="N550" s="164"/>
    </row>
    <row r="551" spans="1:14" s="3" customFormat="1" ht="12.2" customHeight="1" x14ac:dyDescent="0.15">
      <c r="A551" s="21" t="s">
        <v>634</v>
      </c>
      <c r="B551" s="22">
        <v>21</v>
      </c>
      <c r="C551" s="22">
        <v>23</v>
      </c>
      <c r="D551" s="2" t="s">
        <v>432</v>
      </c>
      <c r="E551" s="22"/>
      <c r="F551" s="69">
        <f>L523</f>
        <v>166308</v>
      </c>
      <c r="G551" s="69">
        <f>L528</f>
        <v>0</v>
      </c>
      <c r="H551" s="69">
        <f>L533</f>
        <v>0</v>
      </c>
      <c r="I551" s="69">
        <f>L538</f>
        <v>0</v>
      </c>
      <c r="J551" s="69">
        <f>L543</f>
        <v>6304</v>
      </c>
      <c r="K551" s="69">
        <f>SUM(F551:J551)</f>
        <v>172612</v>
      </c>
      <c r="L551" s="23" t="s">
        <v>288</v>
      </c>
      <c r="M551" s="8"/>
      <c r="N551" s="164"/>
    </row>
    <row r="552" spans="1:14" s="3" customFormat="1" ht="12.2" customHeight="1" thickBot="1" x14ac:dyDescent="0.2">
      <c r="A552" s="21" t="s">
        <v>635</v>
      </c>
      <c r="B552" s="22">
        <v>21</v>
      </c>
      <c r="C552" s="22">
        <v>24</v>
      </c>
      <c r="D552" s="2" t="s">
        <v>432</v>
      </c>
      <c r="E552" s="22"/>
      <c r="F552" s="69">
        <f>L524</f>
        <v>132736</v>
      </c>
      <c r="G552" s="69">
        <f>L529</f>
        <v>0</v>
      </c>
      <c r="H552" s="69">
        <f>L534</f>
        <v>0</v>
      </c>
      <c r="I552" s="69">
        <f>L539</f>
        <v>0</v>
      </c>
      <c r="J552" s="69">
        <f>L544</f>
        <v>14290</v>
      </c>
      <c r="K552" s="69">
        <f>SUM(F552:J552)</f>
        <v>147026</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527646</v>
      </c>
      <c r="G553" s="70">
        <f t="shared" si="42"/>
        <v>0</v>
      </c>
      <c r="H553" s="70">
        <f t="shared" si="42"/>
        <v>0</v>
      </c>
      <c r="I553" s="70">
        <f t="shared" si="42"/>
        <v>0</v>
      </c>
      <c r="J553" s="70">
        <f t="shared" si="42"/>
        <v>42029</v>
      </c>
      <c r="K553" s="70">
        <f t="shared" si="42"/>
        <v>569675</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653173</v>
      </c>
      <c r="G576" s="18">
        <v>180138</v>
      </c>
      <c r="H576" s="18">
        <v>308921</v>
      </c>
      <c r="I576" s="69">
        <f>SUM(F576:H576)</f>
        <v>1142232</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263317</v>
      </c>
      <c r="G580" s="18">
        <f>166308-28595</f>
        <v>137713</v>
      </c>
      <c r="H580" s="18">
        <v>132736</v>
      </c>
      <c r="I580" s="69">
        <f t="shared" si="47"/>
        <v>533766</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28595</v>
      </c>
      <c r="G581" s="18"/>
      <c r="H581" s="18"/>
      <c r="I581" s="69">
        <f t="shared" si="47"/>
        <v>28595</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945085</v>
      </c>
      <c r="G589" s="79">
        <f t="shared" ref="G589:I589" si="48">SUM(G576:G588)</f>
        <v>317851</v>
      </c>
      <c r="H589" s="79">
        <f t="shared" si="48"/>
        <v>441657</v>
      </c>
      <c r="I589" s="79">
        <f t="shared" si="48"/>
        <v>1704593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80904</v>
      </c>
      <c r="I592" s="18">
        <v>23794</v>
      </c>
      <c r="J592" s="18">
        <v>53936</v>
      </c>
      <c r="K592" s="80">
        <f t="shared" ref="K592:K598" si="49">SUM(H592:J592)</f>
        <v>158634</v>
      </c>
      <c r="L592" s="23" t="s">
        <v>288</v>
      </c>
      <c r="M592" s="8"/>
      <c r="N592" s="164"/>
    </row>
    <row r="593" spans="1:14" s="3" customFormat="1" ht="12.2" customHeight="1" x14ac:dyDescent="0.15">
      <c r="A593" s="3" t="s">
        <v>638</v>
      </c>
      <c r="B593" s="22">
        <v>23</v>
      </c>
      <c r="C593" s="22">
        <v>2</v>
      </c>
      <c r="D593" s="2" t="s">
        <v>432</v>
      </c>
      <c r="E593" s="22"/>
      <c r="F593" s="78">
        <v>2722</v>
      </c>
      <c r="G593" s="79" t="s">
        <v>97</v>
      </c>
      <c r="H593" s="18">
        <v>21435</v>
      </c>
      <c r="I593" s="18">
        <v>6304</v>
      </c>
      <c r="J593" s="18">
        <v>14290</v>
      </c>
      <c r="K593" s="80">
        <f t="shared" si="49"/>
        <v>42029</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102339</v>
      </c>
      <c r="I599" s="81">
        <f>SUM(I592:I598)</f>
        <v>30098</v>
      </c>
      <c r="J599" s="81">
        <f>SUM(J592:J598)</f>
        <v>68226</v>
      </c>
      <c r="K599" s="81">
        <f>SUM(K592:K598)</f>
        <v>200663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199463</v>
      </c>
      <c r="H618" s="80">
        <f>SUM(F52)</f>
        <v>199463</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286637</v>
      </c>
      <c r="H622" s="80">
        <f>SUM(J52)</f>
        <v>286637</v>
      </c>
      <c r="I622" s="87" t="s">
        <v>875</v>
      </c>
      <c r="J622" s="80">
        <f>G622-H622</f>
        <v>0</v>
      </c>
      <c r="K622" s="80"/>
      <c r="L622" s="80"/>
      <c r="M622" s="8"/>
    </row>
    <row r="623" spans="1:14" s="3" customFormat="1" ht="12.2" customHeight="1" x14ac:dyDescent="0.15">
      <c r="A623" s="74"/>
      <c r="B623" s="22"/>
      <c r="C623" s="22"/>
      <c r="D623" s="22"/>
      <c r="E623" s="22"/>
      <c r="F623" s="87" t="s">
        <v>861</v>
      </c>
      <c r="G623" s="80">
        <f>F51</f>
        <v>197463</v>
      </c>
      <c r="H623" s="80">
        <f>F477</f>
        <v>197463</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286637</v>
      </c>
      <c r="H627" s="80">
        <f>J477</f>
        <v>286637</v>
      </c>
      <c r="I627" s="87" t="s">
        <v>105</v>
      </c>
      <c r="J627" s="80">
        <f t="shared" si="51"/>
        <v>0</v>
      </c>
      <c r="K627" s="67"/>
      <c r="L627" s="69"/>
      <c r="M627" s="8"/>
    </row>
    <row r="628" spans="1:13" s="3" customFormat="1" ht="12.2" customHeight="1" x14ac:dyDescent="0.15">
      <c r="A628" s="21"/>
      <c r="B628" s="22"/>
      <c r="C628" s="22"/>
      <c r="D628" s="22"/>
      <c r="E628" s="22"/>
      <c r="F628" s="86" t="s">
        <v>658</v>
      </c>
      <c r="G628" s="80">
        <f>F194</f>
        <v>2131276</v>
      </c>
      <c r="H628" s="80">
        <f>SUM(F469)</f>
        <v>2131276</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25084</v>
      </c>
      <c r="H630" s="80">
        <f>SUM(H469)</f>
        <v>25084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20009</v>
      </c>
      <c r="H632" s="80">
        <f>SUM(J469)</f>
        <v>20009</v>
      </c>
      <c r="I632" s="87" t="s">
        <v>110</v>
      </c>
      <c r="J632" s="80">
        <f>G632-H632</f>
        <v>0</v>
      </c>
      <c r="K632" s="67"/>
      <c r="L632" s="69"/>
      <c r="M632" s="8"/>
    </row>
    <row r="633" spans="1:13" s="3" customFormat="1" ht="12.2" customHeight="1" x14ac:dyDescent="0.15">
      <c r="A633" s="21"/>
      <c r="B633" s="22"/>
      <c r="C633" s="22"/>
      <c r="D633" s="22"/>
      <c r="E633" s="22"/>
      <c r="F633" s="86" t="s">
        <v>394</v>
      </c>
      <c r="G633" s="80">
        <f>SUM(L272)</f>
        <v>1944091</v>
      </c>
      <c r="H633" s="80">
        <f>SUM(F473)</f>
        <v>1944091</v>
      </c>
      <c r="I633" s="87" t="s">
        <v>111</v>
      </c>
      <c r="J633" s="80">
        <f t="shared" si="51"/>
        <v>0</v>
      </c>
      <c r="K633" s="67"/>
      <c r="L633" s="69"/>
      <c r="M633" s="8"/>
    </row>
    <row r="634" spans="1:13" s="3" customFormat="1" ht="12.2" customHeight="1" x14ac:dyDescent="0.15">
      <c r="A634" s="21"/>
      <c r="B634" s="22"/>
      <c r="C634" s="22"/>
      <c r="D634" s="22"/>
      <c r="E634" s="22"/>
      <c r="F634" s="86" t="s">
        <v>395</v>
      </c>
      <c r="G634" s="80">
        <f>SUM(L353)</f>
        <v>25084</v>
      </c>
      <c r="H634" s="80">
        <f>SUM(H473)</f>
        <v>25084</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20009</v>
      </c>
      <c r="H638" s="108">
        <f>SUM(J469)</f>
        <v>20009</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286637</v>
      </c>
      <c r="H640" s="80">
        <f>SUM(F462)</f>
        <v>286637</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286637</v>
      </c>
      <c r="H643" s="80">
        <f>SUM(I462)</f>
        <v>286637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20009</v>
      </c>
      <c r="H645" s="80">
        <f>H409</f>
        <v>20009</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20009</v>
      </c>
      <c r="H647" s="80">
        <f>L409</f>
        <v>20009</v>
      </c>
      <c r="I647" s="87" t="s">
        <v>477</v>
      </c>
      <c r="J647" s="80">
        <f t="shared" si="51"/>
        <v>0</v>
      </c>
      <c r="K647" s="67"/>
      <c r="L647" s="69"/>
      <c r="M647" s="8"/>
    </row>
    <row r="648" spans="1:13" s="3" customFormat="1" ht="12.2" customHeight="1" x14ac:dyDescent="0.15">
      <c r="A648" s="21"/>
      <c r="B648" s="22"/>
      <c r="C648" s="22"/>
      <c r="D648" s="22"/>
      <c r="E648" s="22"/>
      <c r="F648" s="86" t="s">
        <v>51</v>
      </c>
      <c r="G648" s="80">
        <f>K599</f>
        <v>200663</v>
      </c>
      <c r="H648" s="80">
        <f>L209+L227+L245</f>
        <v>200663</v>
      </c>
      <c r="I648" s="87" t="s">
        <v>396</v>
      </c>
      <c r="J648" s="80">
        <f t="shared" si="51"/>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1"/>
        <v>0</v>
      </c>
      <c r="K649" s="67"/>
      <c r="L649" s="69"/>
      <c r="M649" s="8"/>
    </row>
    <row r="650" spans="1:13" s="3" customFormat="1" ht="12.2" customHeight="1" x14ac:dyDescent="0.15">
      <c r="A650" s="21"/>
      <c r="B650" s="22"/>
      <c r="C650" s="22"/>
      <c r="D650" s="22"/>
      <c r="E650" s="22"/>
      <c r="F650" s="86" t="s">
        <v>387</v>
      </c>
      <c r="G650" s="80">
        <f>L209</f>
        <v>102339</v>
      </c>
      <c r="H650" s="80">
        <f>H599</f>
        <v>102339</v>
      </c>
      <c r="I650" s="87" t="s">
        <v>388</v>
      </c>
      <c r="J650" s="80">
        <f t="shared" si="51"/>
        <v>0</v>
      </c>
      <c r="K650" s="67"/>
      <c r="L650" s="69"/>
      <c r="M650" s="8"/>
    </row>
    <row r="651" spans="1:13" s="3" customFormat="1" ht="12.2" customHeight="1" x14ac:dyDescent="0.15">
      <c r="A651" s="21"/>
      <c r="B651" s="22"/>
      <c r="C651" s="22"/>
      <c r="D651" s="22"/>
      <c r="E651" s="22"/>
      <c r="F651" s="86" t="s">
        <v>392</v>
      </c>
      <c r="G651" s="80">
        <f>L227</f>
        <v>30098</v>
      </c>
      <c r="H651" s="80">
        <f>I599</f>
        <v>30098</v>
      </c>
      <c r="I651" s="87" t="s">
        <v>389</v>
      </c>
      <c r="J651" s="80">
        <f t="shared" si="51"/>
        <v>0</v>
      </c>
      <c r="K651" s="67"/>
      <c r="L651" s="69"/>
      <c r="M651" s="8"/>
    </row>
    <row r="652" spans="1:13" s="3" customFormat="1" ht="12.2" customHeight="1" x14ac:dyDescent="0.15">
      <c r="A652" s="21"/>
      <c r="B652" s="22"/>
      <c r="C652" s="22"/>
      <c r="D652" s="22"/>
      <c r="E652" s="22"/>
      <c r="F652" s="86" t="s">
        <v>393</v>
      </c>
      <c r="G652" s="80">
        <f>L245</f>
        <v>68226</v>
      </c>
      <c r="H652" s="80">
        <f>J599</f>
        <v>68226</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1080714</v>
      </c>
      <c r="G661" s="13">
        <f>(L230+L310+L360)</f>
        <v>357325</v>
      </c>
      <c r="H661" s="13">
        <f>(L248+L329+L361)</f>
        <v>531136</v>
      </c>
      <c r="I661" s="13">
        <f>SUM(F661:H661)</f>
        <v>1969175</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102339</v>
      </c>
      <c r="G663" s="13">
        <f>(L227+L307)-(J227+J307)</f>
        <v>30098</v>
      </c>
      <c r="H663" s="13">
        <f>(L245+L326)-(J245+J326)</f>
        <v>68226</v>
      </c>
      <c r="I663" s="13">
        <f>SUM(F663:H663)</f>
        <v>200663</v>
      </c>
      <c r="J663"/>
      <c r="K663" s="13"/>
      <c r="L663" s="13"/>
      <c r="M663" s="9"/>
    </row>
    <row r="664" spans="1:13" s="3" customFormat="1" ht="12.2" customHeight="1" x14ac:dyDescent="0.15">
      <c r="A664" s="141" t="s">
        <v>129</v>
      </c>
      <c r="B664" s="124"/>
      <c r="C664" s="124"/>
      <c r="D664" s="124"/>
      <c r="E664" s="124"/>
      <c r="F664" s="142">
        <f>SUM(F576:F588)+SUM(H603:H605)+SUM(L612)</f>
        <v>945085</v>
      </c>
      <c r="G664" s="142">
        <f>SUM(G576:G588)+SUM(I603:I605)+L613</f>
        <v>317851</v>
      </c>
      <c r="H664" s="142">
        <f>SUM(H576:H588)+SUM(J603:J605)+L614</f>
        <v>441657</v>
      </c>
      <c r="I664" s="13">
        <f>SUM(F664:H664)</f>
        <v>1704593</v>
      </c>
      <c r="J664" s="13"/>
      <c r="K664" s="13"/>
      <c r="L664" s="13"/>
      <c r="M664" s="9"/>
    </row>
    <row r="665" spans="1:13" s="3" customFormat="1" ht="12.2" customHeight="1" x14ac:dyDescent="0.15">
      <c r="A665" s="1" t="s">
        <v>130</v>
      </c>
      <c r="F665" s="13">
        <f>F661-SUM(F662:F664)</f>
        <v>33290</v>
      </c>
      <c r="G665" s="13">
        <f>G661-SUM(G662:G664)</f>
        <v>9376</v>
      </c>
      <c r="H665" s="13">
        <f>H661-SUM(H662:H664)</f>
        <v>21253</v>
      </c>
      <c r="I665" s="13">
        <f>I661-SUM(I662:I664)</f>
        <v>63919</v>
      </c>
      <c r="J665" s="13"/>
      <c r="K665" s="13"/>
      <c r="L665" s="13"/>
      <c r="M665" s="8"/>
    </row>
    <row r="666" spans="1:13" s="3" customFormat="1" ht="12.2" customHeight="1" x14ac:dyDescent="0.2">
      <c r="A666" s="1" t="s">
        <v>131</v>
      </c>
      <c r="F666" s="182"/>
      <c r="G666" s="183"/>
      <c r="H666" s="183"/>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2">IF(AND(F666=0,F665&gt;0),F665*-1,"")</f>
        <v>-33290</v>
      </c>
      <c r="G670" s="73">
        <f t="shared" si="52"/>
        <v>-9376</v>
      </c>
      <c r="H670" s="73">
        <f t="shared" si="52"/>
        <v>-21253</v>
      </c>
      <c r="I670" s="13">
        <f>SUM(F670:H670)</f>
        <v>-63919</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6" sqref="C16"/>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0</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c r="C3" s="242"/>
      <c r="D3" s="242"/>
      <c r="E3" s="242"/>
      <c r="F3" s="242"/>
      <c r="G3" s="242"/>
      <c r="H3" s="242"/>
      <c r="I3" t="s">
        <v>1593</v>
      </c>
    </row>
    <row r="4" spans="1:9" x14ac:dyDescent="0.2">
      <c r="I4" t="s">
        <v>1594</v>
      </c>
    </row>
    <row r="5" spans="1:9" ht="15.75" x14ac:dyDescent="0.25">
      <c r="A5" s="238" t="s">
        <v>897</v>
      </c>
      <c r="B5" s="320" t="str">
        <f>'DOE25'!A2</f>
        <v>Sullivan</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8" sqref="C1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Sullivan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0</v>
      </c>
      <c r="C9" s="166">
        <f>'DOE25'!G198+'DOE25'!G216+'DOE25'!G234+'DOE25'!G277+'DOE25'!G296+'DOE25'!G315</f>
        <v>0</v>
      </c>
    </row>
    <row r="10" spans="1:3" x14ac:dyDescent="0.2">
      <c r="A10" t="s">
        <v>772</v>
      </c>
      <c r="B10" s="176"/>
      <c r="C10" s="176"/>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0</v>
      </c>
      <c r="C13" s="168">
        <f>SUM(C10:C12)</f>
        <v>0</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Sullivan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1680921</v>
      </c>
      <c r="D5" s="19">
        <f>SUM('DOE25'!L198:L201)+SUM('DOE25'!L216:L219)+SUM('DOE25'!L234:L237)-F5-G5-H5</f>
        <v>1680921</v>
      </c>
      <c r="E5" s="179"/>
      <c r="F5" s="180"/>
      <c r="G5" s="19">
        <f>SUM('DOE25'!J198:J201)+SUM('DOE25'!J216:J219)+SUM('DOE25'!J234:J237)</f>
        <v>0</v>
      </c>
      <c r="H5" s="19">
        <f>SUM('DOE25'!K198:K201)+SUM('DOE25'!K216:K219)+SUM('DOE25'!K234:K237)</f>
        <v>0</v>
      </c>
      <c r="I5" s="191"/>
    </row>
    <row r="6" spans="1:9" x14ac:dyDescent="0.2">
      <c r="A6" s="31">
        <v>2100</v>
      </c>
      <c r="B6" t="s">
        <v>793</v>
      </c>
      <c r="C6" s="205">
        <f t="shared" si="0"/>
        <v>0</v>
      </c>
      <c r="D6" s="19">
        <f>'DOE25'!L203+'DOE25'!L221+'DOE25'!L239-F6-G6-H6</f>
        <v>0</v>
      </c>
      <c r="E6" s="179"/>
      <c r="F6" s="180"/>
      <c r="G6" s="19">
        <f>'DOE25'!J203+'DOE25'!J221+'DOE25'!J239</f>
        <v>0</v>
      </c>
      <c r="H6" s="19">
        <f>'DOE25'!K203+'DOE25'!K221+'DOE25'!K239</f>
        <v>0</v>
      </c>
      <c r="I6" s="191"/>
    </row>
    <row r="7" spans="1:9" x14ac:dyDescent="0.2">
      <c r="A7" s="31">
        <v>2200</v>
      </c>
      <c r="B7" t="s">
        <v>817</v>
      </c>
      <c r="C7" s="205">
        <f t="shared" si="0"/>
        <v>0</v>
      </c>
      <c r="D7" s="19">
        <f>'DOE25'!L204+'DOE25'!L222+'DOE25'!L240-F7-G7-H7</f>
        <v>0</v>
      </c>
      <c r="E7" s="179"/>
      <c r="F7" s="180"/>
      <c r="G7" s="19">
        <f>'DOE25'!J204+'DOE25'!J222+'DOE25'!J240</f>
        <v>0</v>
      </c>
      <c r="H7" s="19">
        <f>'DOE25'!K204+'DOE25'!K222+'DOE25'!K240</f>
        <v>0</v>
      </c>
      <c r="I7" s="191"/>
    </row>
    <row r="8" spans="1:9" x14ac:dyDescent="0.2">
      <c r="A8" s="31">
        <v>2300</v>
      </c>
      <c r="B8" t="s">
        <v>794</v>
      </c>
      <c r="C8" s="205">
        <f t="shared" si="0"/>
        <v>47816</v>
      </c>
      <c r="D8" s="179"/>
      <c r="E8" s="19">
        <f>'DOE25'!L205+'DOE25'!L223+'DOE25'!L241-F8-G8-H8-D9-D11</f>
        <v>47816</v>
      </c>
      <c r="F8" s="180"/>
      <c r="G8" s="19">
        <f>'DOE25'!J205+'DOE25'!J223+'DOE25'!J241</f>
        <v>0</v>
      </c>
      <c r="H8" s="19">
        <f>'DOE25'!K205+'DOE25'!K223+'DOE25'!K241</f>
        <v>0</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0</v>
      </c>
      <c r="D12" s="19">
        <f>'DOE25'!L206+'DOE25'!L224+'DOE25'!L242-F12-G12-H12</f>
        <v>0</v>
      </c>
      <c r="E12" s="179"/>
      <c r="F12" s="180"/>
      <c r="G12" s="19">
        <f>'DOE25'!J206+'DOE25'!J224+'DOE25'!J242</f>
        <v>0</v>
      </c>
      <c r="H12" s="19">
        <f>'DOE25'!K206+'DOE25'!K224+'DOE25'!K242</f>
        <v>0</v>
      </c>
      <c r="I12" s="191"/>
    </row>
    <row r="13" spans="1:9" x14ac:dyDescent="0.2">
      <c r="A13" s="31">
        <v>2500</v>
      </c>
      <c r="B13" t="s">
        <v>795</v>
      </c>
      <c r="C13" s="205">
        <f t="shared" si="0"/>
        <v>14691</v>
      </c>
      <c r="D13" s="179"/>
      <c r="E13" s="19">
        <f>'DOE25'!L207+'DOE25'!L225+'DOE25'!L243-F13-G13-H13</f>
        <v>14691</v>
      </c>
      <c r="F13" s="180"/>
      <c r="G13" s="19">
        <f>'DOE25'!J207+'DOE25'!J225+'DOE25'!J243</f>
        <v>0</v>
      </c>
      <c r="H13" s="19">
        <f>'DOE25'!K207+'DOE25'!K225+'DOE25'!K243</f>
        <v>0</v>
      </c>
      <c r="I13" s="191"/>
    </row>
    <row r="14" spans="1:9" x14ac:dyDescent="0.2">
      <c r="A14" s="31">
        <v>2600</v>
      </c>
      <c r="B14" t="s">
        <v>815</v>
      </c>
      <c r="C14" s="205">
        <f t="shared" si="0"/>
        <v>0</v>
      </c>
      <c r="D14" s="19">
        <f>'DOE25'!L208+'DOE25'!L226+'DOE25'!L244-F14-G14-H14</f>
        <v>0</v>
      </c>
      <c r="E14" s="179"/>
      <c r="F14" s="180"/>
      <c r="G14" s="19">
        <f>'DOE25'!J208+'DOE25'!J226+'DOE25'!J244</f>
        <v>0</v>
      </c>
      <c r="H14" s="19">
        <f>'DOE25'!K208+'DOE25'!K226+'DOE25'!K244</f>
        <v>0</v>
      </c>
      <c r="I14" s="191"/>
    </row>
    <row r="15" spans="1:9" x14ac:dyDescent="0.2">
      <c r="A15" s="31">
        <v>2700</v>
      </c>
      <c r="B15" t="s">
        <v>796</v>
      </c>
      <c r="C15" s="205">
        <f t="shared" si="0"/>
        <v>200663</v>
      </c>
      <c r="D15" s="19">
        <f>'DOE25'!L209+'DOE25'!L227+'DOE25'!L245-F15-G15-H15</f>
        <v>200663</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25084</v>
      </c>
      <c r="D31" s="19">
        <f>'DOE25'!L291+'DOE25'!L310+'DOE25'!L329+'DOE25'!L334+'DOE25'!L335+'DOE25'!L336-F31-G31-H31</f>
        <v>25084</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1906668</v>
      </c>
      <c r="E33" s="181">
        <f t="shared" si="1"/>
        <v>62507</v>
      </c>
      <c r="F33" s="181">
        <f t="shared" si="1"/>
        <v>0</v>
      </c>
      <c r="G33" s="181">
        <f t="shared" si="1"/>
        <v>0</v>
      </c>
      <c r="H33" s="181">
        <f t="shared" si="1"/>
        <v>0</v>
      </c>
      <c r="I33" s="181">
        <f t="shared" si="1"/>
        <v>0</v>
      </c>
    </row>
    <row r="34" spans="1:9" ht="12" thickBot="1" x14ac:dyDescent="0.25"/>
    <row r="35" spans="1:9" ht="12" thickBot="1" x14ac:dyDescent="0.25">
      <c r="B35" s="187" t="s">
        <v>827</v>
      </c>
      <c r="D35" s="188">
        <f>E33</f>
        <v>62507</v>
      </c>
      <c r="E35" s="184"/>
      <c r="F35" s="294" t="s">
        <v>1596</v>
      </c>
      <c r="G35" s="295"/>
      <c r="H35" s="295"/>
      <c r="I35" s="296"/>
    </row>
    <row r="36" spans="1:9" ht="12" thickTop="1" x14ac:dyDescent="0.2">
      <c r="B36" t="s">
        <v>807</v>
      </c>
      <c r="D36" s="19">
        <f>D33</f>
        <v>1906668</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K40" sqref="K4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Sullivan</v>
      </c>
      <c r="B2">
        <f>'DOE25'!B2</f>
        <v>513</v>
      </c>
      <c r="J2" s="223" t="s">
        <v>1799</v>
      </c>
      <c r="K2" s="308">
        <f>SUM('DOE25'!L198:L201)+SUM('DOE25'!L277:L280)</f>
        <v>946497</v>
      </c>
      <c r="L2" s="308">
        <f>'DOE25'!L203+'DOE25'!L282</f>
        <v>0</v>
      </c>
      <c r="M2" s="308">
        <f>'DOE25'!L204+'DOE25'!L283</f>
        <v>0</v>
      </c>
      <c r="N2" s="308">
        <f>'DOE25'!L206+'DOE25'!L285</f>
        <v>0</v>
      </c>
      <c r="O2" s="316">
        <f>'Salaries-Benefits'!B10+'Salaries-Benefits'!B12+'Salaries-Benefits'!B19+'Salaries-Benefits'!B21+'Salaries-Benefits'!B28+'Salaries-Benefits'!B30+'Salaries-Benefits'!B37+'Salaries-Benefits'!B39</f>
        <v>0</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1080714</v>
      </c>
      <c r="G4" s="228">
        <f>'DOE25'!L212+'DOE25'!L291</f>
        <v>1080714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1055630</v>
      </c>
      <c r="E5" s="219">
        <v>25084</v>
      </c>
      <c r="F5" s="231">
        <f>D5+E5</f>
        <v>1080714</v>
      </c>
      <c r="G5" s="222"/>
      <c r="H5" s="222"/>
      <c r="J5" s="71" t="s">
        <v>1840</v>
      </c>
      <c r="K5" s="20">
        <v>946497</v>
      </c>
      <c r="L5" s="20"/>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1055630</v>
      </c>
      <c r="E21" s="261">
        <f>SUM(E5:E20)</f>
        <v>25084</v>
      </c>
      <c r="F21" s="216"/>
      <c r="G21" s="216"/>
      <c r="H21" s="216"/>
      <c r="K21" s="262">
        <f t="shared" ref="K21:Q21" si="4">SUM(K5:K20)</f>
        <v>946497</v>
      </c>
      <c r="L21" s="262">
        <f t="shared" si="4"/>
        <v>0</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317851</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357325</v>
      </c>
      <c r="G25" s="228">
        <f>'DOE25'!L230+'DOE25'!L310</f>
        <v>357325</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357325</v>
      </c>
      <c r="E26" s="219"/>
      <c r="F26" s="231">
        <f>D26+E26</f>
        <v>357325</v>
      </c>
      <c r="G26" s="222"/>
      <c r="H26" s="222"/>
      <c r="J26" s="71" t="s">
        <v>1840</v>
      </c>
      <c r="K26" s="315">
        <v>317851</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357325</v>
      </c>
      <c r="E34" s="261">
        <f>SUM(E26:E33)</f>
        <v>0</v>
      </c>
      <c r="F34" s="216"/>
      <c r="G34" s="216"/>
      <c r="H34" s="216"/>
      <c r="K34" s="262">
        <f t="shared" ref="K34:Q34" si="8">SUM(K26:K33)</f>
        <v>317851</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441657</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531136</v>
      </c>
      <c r="G38" s="228">
        <f>'DOE25'!L248+'DOE25'!L329</f>
        <v>531136</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531136</v>
      </c>
      <c r="E39" s="219"/>
      <c r="F39" s="231">
        <f t="shared" ref="F39:F44" si="10">D39+E39</f>
        <v>531136</v>
      </c>
      <c r="G39" s="222"/>
      <c r="H39" s="222"/>
      <c r="J39" s="71" t="s">
        <v>1840</v>
      </c>
      <c r="K39" s="315">
        <v>441657</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531136</v>
      </c>
      <c r="E45" s="262">
        <f>SUM(E39:E44)</f>
        <v>0</v>
      </c>
      <c r="K45" s="262">
        <f t="shared" ref="K45:Q45" si="11">SUM(K39:K44)</f>
        <v>441657</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Sullivan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197061</v>
      </c>
      <c r="D8" s="73">
        <f>'DOE25'!G9</f>
        <v>0</v>
      </c>
      <c r="E8" s="73">
        <f>'DOE25'!H9</f>
        <v>0</v>
      </c>
      <c r="F8" s="73">
        <f>'DOE25'!I9</f>
        <v>0</v>
      </c>
      <c r="G8" s="73">
        <f>'DOE25'!J9</f>
        <v>0</v>
      </c>
      <c r="H8" s="13">
        <f>SUM(C8:G8)</f>
        <v>197061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286637</v>
      </c>
      <c r="H11" s="13">
        <f t="shared" si="0"/>
        <v>286637</v>
      </c>
      <c r="I11" s="90"/>
    </row>
    <row r="12" spans="1:9" x14ac:dyDescent="0.2">
      <c r="A12" s="1" t="s">
        <v>143</v>
      </c>
      <c r="B12" s="6">
        <v>140</v>
      </c>
      <c r="C12" s="73">
        <f>'DOE25'!F13</f>
        <v>2402</v>
      </c>
      <c r="D12" s="73">
        <f>'DOE25'!G13</f>
        <v>0</v>
      </c>
      <c r="E12" s="73">
        <f>'DOE25'!H13</f>
        <v>0</v>
      </c>
      <c r="F12" s="73">
        <f>'DOE25'!I13</f>
        <v>0</v>
      </c>
      <c r="G12" s="73">
        <f>'DOE25'!J13</f>
        <v>0</v>
      </c>
      <c r="H12" s="13">
        <f t="shared" si="0"/>
        <v>2402</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199463</v>
      </c>
      <c r="D18" s="38">
        <f>SUM(D8:D17)</f>
        <v>0</v>
      </c>
      <c r="E18" s="38">
        <f>SUM(E8:E17)</f>
        <v>0</v>
      </c>
      <c r="F18" s="38">
        <f>SUM(F8:F17)</f>
        <v>0</v>
      </c>
      <c r="G18" s="38">
        <f>SUM(G8:G17)</f>
        <v>286637</v>
      </c>
      <c r="H18" s="38">
        <f t="shared" si="0"/>
        <v>486100</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2000</v>
      </c>
      <c r="D23" s="73">
        <f>'DOE25'!G24</f>
        <v>0</v>
      </c>
      <c r="E23" s="73">
        <f>'DOE25'!H24</f>
        <v>0</v>
      </c>
      <c r="F23" s="73">
        <f>'DOE25'!I24</f>
        <v>0</v>
      </c>
      <c r="G23" s="73">
        <f>'DOE25'!J24</f>
        <v>0</v>
      </c>
      <c r="H23" s="13">
        <f t="shared" si="1"/>
        <v>2000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2000</v>
      </c>
      <c r="D31" s="38">
        <f>SUM(D21:D30)</f>
        <v>0</v>
      </c>
      <c r="E31" s="38">
        <f>SUM(E21:E30)</f>
        <v>0</v>
      </c>
      <c r="F31" s="38">
        <f>SUM(F21:F30)</f>
        <v>0</v>
      </c>
      <c r="G31" s="38">
        <f>SUM(G21:G30)</f>
        <v>0</v>
      </c>
      <c r="H31" s="38">
        <f t="shared" si="1"/>
        <v>2000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286637</v>
      </c>
      <c r="H42" s="13">
        <f t="shared" si="2"/>
        <v>286637</v>
      </c>
      <c r="I42" s="90"/>
    </row>
    <row r="43" spans="1:9" x14ac:dyDescent="0.2">
      <c r="A43" s="1" t="s">
        <v>859</v>
      </c>
      <c r="B43" s="6">
        <v>755</v>
      </c>
      <c r="C43" s="73">
        <f>'DOE25'!F44</f>
        <v>25000</v>
      </c>
      <c r="D43" s="73">
        <f>'DOE25'!G44</f>
        <v>0</v>
      </c>
      <c r="E43" s="73">
        <f>'DOE25'!H44</f>
        <v>0</v>
      </c>
      <c r="F43" s="73">
        <f>'DOE25'!I44</f>
        <v>0</v>
      </c>
      <c r="G43" s="23" t="s">
        <v>288</v>
      </c>
      <c r="H43" s="13">
        <f t="shared" si="2"/>
        <v>25000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172463</v>
      </c>
      <c r="D49" s="23" t="s">
        <v>288</v>
      </c>
      <c r="E49" s="23" t="s">
        <v>288</v>
      </c>
      <c r="F49" s="23" t="s">
        <v>288</v>
      </c>
      <c r="G49" s="23" t="s">
        <v>288</v>
      </c>
      <c r="H49" s="13">
        <f t="shared" si="2"/>
        <v>172463</v>
      </c>
      <c r="I49" s="90"/>
    </row>
    <row r="50" spans="1:9" ht="12.75" thickTop="1" thickBot="1" x14ac:dyDescent="0.25">
      <c r="A50" s="35" t="s">
        <v>880</v>
      </c>
      <c r="B50" s="44"/>
      <c r="C50" s="38">
        <f>SUM(C34:C49)</f>
        <v>197463</v>
      </c>
      <c r="D50" s="38">
        <f>SUM(D34:D49)</f>
        <v>0</v>
      </c>
      <c r="E50" s="38">
        <f>SUM(E34:E49)</f>
        <v>0</v>
      </c>
      <c r="F50" s="38">
        <f>SUM(F34:F49)</f>
        <v>0</v>
      </c>
      <c r="G50" s="38">
        <f>SUM(G34:G49)</f>
        <v>286637</v>
      </c>
      <c r="H50" s="38">
        <f t="shared" si="2"/>
        <v>484100</v>
      </c>
      <c r="I50" s="90"/>
    </row>
    <row r="51" spans="1:9" ht="12" thickTop="1" x14ac:dyDescent="0.2">
      <c r="A51" s="35" t="s">
        <v>881</v>
      </c>
      <c r="B51" s="2"/>
      <c r="C51" s="38">
        <f>C50+C31</f>
        <v>199463</v>
      </c>
      <c r="D51" s="38">
        <f>D50+D31</f>
        <v>0</v>
      </c>
      <c r="E51" s="38">
        <f>E50+E31</f>
        <v>0</v>
      </c>
      <c r="F51" s="38">
        <f>F50+F31</f>
        <v>0</v>
      </c>
      <c r="G51" s="38">
        <f>G50+G31</f>
        <v>286637</v>
      </c>
      <c r="H51" s="38">
        <f t="shared" si="2"/>
        <v>486100</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1253119</v>
      </c>
      <c r="D56" s="73">
        <f>'DOE25'!G60</f>
        <v>0</v>
      </c>
      <c r="E56" s="73">
        <f>'DOE25'!H60</f>
        <v>0</v>
      </c>
      <c r="F56" s="73">
        <f>'DOE25'!I60</f>
        <v>0</v>
      </c>
      <c r="G56" s="73">
        <f>'DOE25'!J60</f>
        <v>0</v>
      </c>
      <c r="H56" s="13">
        <f t="shared" ref="H56:H63" si="3">SUM(C56:G56)</f>
        <v>1253119</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5600</v>
      </c>
      <c r="D59" s="73">
        <f>'DOE25'!G96</f>
        <v>0</v>
      </c>
      <c r="E59" s="73">
        <f>'DOE25'!H96</f>
        <v>0</v>
      </c>
      <c r="F59" s="73">
        <f>'DOE25'!I96</f>
        <v>0</v>
      </c>
      <c r="G59" s="73">
        <f>'DOE25'!J96</f>
        <v>20009</v>
      </c>
      <c r="H59" s="13">
        <f t="shared" si="3"/>
        <v>25609</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5600</v>
      </c>
      <c r="D62" s="93">
        <f>SUM(D57:D61)</f>
        <v>0</v>
      </c>
      <c r="E62" s="93">
        <f>SUM(E57:E61)</f>
        <v>0</v>
      </c>
      <c r="F62" s="93">
        <f>SUM(F57:F61)</f>
        <v>0</v>
      </c>
      <c r="G62" s="93">
        <f>SUM(G57:G61)</f>
        <v>20009</v>
      </c>
      <c r="H62" s="13">
        <f t="shared" si="3"/>
        <v>25609</v>
      </c>
      <c r="I62"/>
    </row>
    <row r="63" spans="1:9" ht="12" thickTop="1" x14ac:dyDescent="0.2">
      <c r="A63" s="28" t="s">
        <v>175</v>
      </c>
      <c r="B63" s="6"/>
      <c r="C63" s="21">
        <f>C56+C62</f>
        <v>1258719</v>
      </c>
      <c r="D63" s="21">
        <f>D56+D62</f>
        <v>0</v>
      </c>
      <c r="E63" s="21">
        <f>E56+E62</f>
        <v>0</v>
      </c>
      <c r="F63" s="21">
        <f>F56+F62</f>
        <v>0</v>
      </c>
      <c r="G63" s="21">
        <f>G56+G62</f>
        <v>20009</v>
      </c>
      <c r="H63" s="13">
        <f t="shared" si="3"/>
        <v>1278728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741767</v>
      </c>
      <c r="D66" s="23" t="s">
        <v>288</v>
      </c>
      <c r="E66" s="23" t="s">
        <v>288</v>
      </c>
      <c r="F66" s="23" t="s">
        <v>288</v>
      </c>
      <c r="G66" s="23" t="s">
        <v>288</v>
      </c>
      <c r="H66" s="13">
        <f t="shared" ref="H66:H81" si="4">SUM(C66:G66)</f>
        <v>741767</v>
      </c>
      <c r="I66"/>
    </row>
    <row r="67" spans="1:9" x14ac:dyDescent="0.2">
      <c r="A67" s="1" t="s">
        <v>767</v>
      </c>
      <c r="B67" s="6">
        <v>3112</v>
      </c>
      <c r="C67" s="73">
        <f>'DOE25'!F118</f>
        <v>109414</v>
      </c>
      <c r="D67" s="23"/>
      <c r="E67" s="23"/>
      <c r="F67" s="23"/>
      <c r="G67" s="23"/>
      <c r="H67" s="13">
        <f t="shared" si="4"/>
        <v>109414</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2037</v>
      </c>
      <c r="D69" s="73">
        <f>'DOE25'!G120</f>
        <v>0</v>
      </c>
      <c r="E69" s="73">
        <f>'DOE25'!H120</f>
        <v>0</v>
      </c>
      <c r="F69" s="73">
        <f>'DOE25'!I120</f>
        <v>0</v>
      </c>
      <c r="G69" s="73">
        <f>'DOE25'!J120</f>
        <v>0</v>
      </c>
      <c r="H69" s="13">
        <f t="shared" si="4"/>
        <v>2037</v>
      </c>
      <c r="I69"/>
    </row>
    <row r="70" spans="1:9" ht="12" thickTop="1" x14ac:dyDescent="0.2">
      <c r="A70" s="28" t="s">
        <v>252</v>
      </c>
      <c r="B70" s="2"/>
      <c r="C70" s="97">
        <f>SUM(C66:C69)</f>
        <v>853218</v>
      </c>
      <c r="D70" s="97">
        <f>D69</f>
        <v>0</v>
      </c>
      <c r="E70" s="97">
        <f>E69</f>
        <v>0</v>
      </c>
      <c r="F70" s="97">
        <f>F69</f>
        <v>0</v>
      </c>
      <c r="G70" s="97">
        <f>G69</f>
        <v>0</v>
      </c>
      <c r="H70" s="13">
        <f t="shared" si="4"/>
        <v>853218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19339</v>
      </c>
      <c r="D75" s="23" t="s">
        <v>288</v>
      </c>
      <c r="E75" s="23" t="s">
        <v>288</v>
      </c>
      <c r="F75" s="23" t="s">
        <v>288</v>
      </c>
      <c r="G75" s="23" t="s">
        <v>288</v>
      </c>
      <c r="H75" s="13">
        <f t="shared" si="4"/>
        <v>19339</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19339</v>
      </c>
      <c r="D78" s="93">
        <f>SUM(D72:D77)</f>
        <v>0</v>
      </c>
      <c r="E78" s="93">
        <f>SUM(E72:E77)</f>
        <v>0</v>
      </c>
      <c r="F78" s="93">
        <f>SUM(F72:F77)</f>
        <v>0</v>
      </c>
      <c r="G78" s="93">
        <f>SUM(G72:G77)</f>
        <v>0</v>
      </c>
      <c r="H78" s="13">
        <f t="shared" si="4"/>
        <v>19339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872557</v>
      </c>
      <c r="D81" s="93">
        <f>SUM(D79:D80)+D78+D70</f>
        <v>0</v>
      </c>
      <c r="E81" s="93">
        <f>SUM(E79:E80)+E78+E70</f>
        <v>0</v>
      </c>
      <c r="F81" s="93">
        <f>SUM(F79:F80)+F78+F70</f>
        <v>0</v>
      </c>
      <c r="G81" s="93">
        <f>SUM(G79:G80)+G78+G70</f>
        <v>0</v>
      </c>
      <c r="H81" s="93">
        <f t="shared" si="4"/>
        <v>872557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0</v>
      </c>
      <c r="E88" s="252">
        <f>SUM('DOE25'!H153:H162)</f>
        <v>25084</v>
      </c>
      <c r="F88" s="252">
        <f>SUM('DOE25'!I153:I162)</f>
        <v>0</v>
      </c>
      <c r="G88" s="23" t="s">
        <v>288</v>
      </c>
      <c r="H88" s="13">
        <f t="shared" si="5"/>
        <v>25084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0</v>
      </c>
      <c r="E91" s="94">
        <f>SUM(E85:E90)</f>
        <v>25084</v>
      </c>
      <c r="F91" s="94">
        <f>SUM(F85:F90)</f>
        <v>0</v>
      </c>
      <c r="G91" s="23" t="s">
        <v>288</v>
      </c>
      <c r="H91" s="13">
        <f t="shared" si="5"/>
        <v>25084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2131276</v>
      </c>
      <c r="D104" s="68">
        <f>D63+D81+D91+D103</f>
        <v>0</v>
      </c>
      <c r="E104" s="68">
        <f>E63+E81+E91+E103</f>
        <v>25084</v>
      </c>
      <c r="F104" s="68">
        <f>F63+F81+F91+F103</f>
        <v>0</v>
      </c>
      <c r="G104" s="68">
        <f>G63+G81+G103</f>
        <v>20009</v>
      </c>
      <c r="H104" s="68">
        <f t="shared" si="5"/>
        <v>2176369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1142232</v>
      </c>
      <c r="D109" s="23" t="s">
        <v>288</v>
      </c>
      <c r="E109" s="73">
        <f>('DOE25'!L277)+('DOE25'!L296)+('DOE25'!L315)</f>
        <v>0</v>
      </c>
      <c r="F109" s="23" t="s">
        <v>288</v>
      </c>
      <c r="G109" s="23" t="s">
        <v>288</v>
      </c>
      <c r="H109" s="13">
        <f t="shared" ref="H109:H115" si="6">SUM(C109:G109)</f>
        <v>1142232</v>
      </c>
    </row>
    <row r="110" spans="1:8" x14ac:dyDescent="0.2">
      <c r="A110" t="s">
        <v>198</v>
      </c>
      <c r="B110" s="31" t="s">
        <v>199</v>
      </c>
      <c r="C110" s="73">
        <f>('DOE25'!L199)+('DOE25'!L217)+('DOE25'!L235)</f>
        <v>538689</v>
      </c>
      <c r="D110" s="23" t="s">
        <v>288</v>
      </c>
      <c r="E110" s="73">
        <f>('DOE25'!L278)+('DOE25'!L297)+('DOE25'!L316)</f>
        <v>25084</v>
      </c>
      <c r="F110" s="23" t="s">
        <v>288</v>
      </c>
      <c r="G110" s="23" t="s">
        <v>288</v>
      </c>
      <c r="H110" s="13">
        <f t="shared" si="6"/>
        <v>563773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1680921</v>
      </c>
      <c r="D115" s="68">
        <f>SUM(D109:D114)</f>
        <v>0</v>
      </c>
      <c r="E115" s="68">
        <f>SUM(E109:E114)</f>
        <v>25084</v>
      </c>
      <c r="F115" s="68">
        <f>SUM(F109:F114)</f>
        <v>0</v>
      </c>
      <c r="G115" s="68">
        <f>SUM(G109:G114)</f>
        <v>0</v>
      </c>
      <c r="H115" s="68">
        <f t="shared" si="6"/>
        <v>1706005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13">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47816</v>
      </c>
      <c r="D120" s="23" t="s">
        <v>288</v>
      </c>
      <c r="E120" s="73">
        <f>+('DOE25'!L284)+('DOE25'!L303)+('DOE25'!L322)</f>
        <v>0</v>
      </c>
      <c r="F120" s="23" t="s">
        <v>288</v>
      </c>
      <c r="G120" s="23" t="s">
        <v>288</v>
      </c>
      <c r="H120" s="13">
        <f t="shared" si="7"/>
        <v>47816</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14691</v>
      </c>
      <c r="D122" s="23" t="s">
        <v>288</v>
      </c>
      <c r="E122" s="73">
        <f>+('DOE25'!L286)+('DOE25'!L305)+('DOE25'!L324)</f>
        <v>0</v>
      </c>
      <c r="F122" s="23" t="s">
        <v>288</v>
      </c>
      <c r="G122" s="23" t="s">
        <v>288</v>
      </c>
      <c r="H122" s="13">
        <f t="shared" si="7"/>
        <v>14691</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200663</v>
      </c>
      <c r="D124" s="23" t="s">
        <v>288</v>
      </c>
      <c r="E124" s="73">
        <f>+('DOE25'!L288)+('DOE25'!L307)+('DOE25'!L326)</f>
        <v>0</v>
      </c>
      <c r="F124" s="23" t="s">
        <v>288</v>
      </c>
      <c r="G124" s="23" t="s">
        <v>288</v>
      </c>
      <c r="H124" s="13">
        <f t="shared" si="7"/>
        <v>200663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263170</v>
      </c>
      <c r="D128" s="68">
        <f>SUM(D118:D127)</f>
        <v>0</v>
      </c>
      <c r="E128" s="68">
        <f>SUM(E118:E127)</f>
        <v>0</v>
      </c>
      <c r="F128" s="68">
        <f>SUM(F118:F127)</f>
        <v>0</v>
      </c>
      <c r="G128" s="68">
        <f>SUM(G118:G127)</f>
        <v>0</v>
      </c>
      <c r="H128" s="68">
        <f t="shared" si="7"/>
        <v>263170</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20009</v>
      </c>
      <c r="D139" s="23" t="s">
        <v>288</v>
      </c>
      <c r="E139" s="23" t="s">
        <v>288</v>
      </c>
      <c r="F139" s="23" t="s">
        <v>288</v>
      </c>
      <c r="G139" s="23" t="s">
        <v>288</v>
      </c>
      <c r="H139" s="13">
        <f t="shared" si="7"/>
        <v>20009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-20009</v>
      </c>
      <c r="D141" s="23" t="s">
        <v>288</v>
      </c>
      <c r="E141" s="23" t="s">
        <v>288</v>
      </c>
      <c r="F141" s="23" t="s">
        <v>288</v>
      </c>
      <c r="G141" s="23" t="s">
        <v>288</v>
      </c>
      <c r="H141" s="13">
        <f t="shared" si="7"/>
        <v>-20009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1944091</v>
      </c>
      <c r="D145" s="68">
        <f>(D115+D128+D144)</f>
        <v>0</v>
      </c>
      <c r="E145" s="68">
        <f>(E115+E128+E144)</f>
        <v>25084</v>
      </c>
      <c r="F145" s="68">
        <f>(F115+F128+F144)</f>
        <v>0</v>
      </c>
      <c r="G145" s="68">
        <f>(G115+G128+G144)</f>
        <v>0</v>
      </c>
      <c r="H145" s="68">
        <f t="shared" si="7"/>
        <v>1969175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Sullivan</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0</v>
      </c>
    </row>
    <row r="9" spans="1:4" x14ac:dyDescent="0.2">
      <c r="A9" s="135" t="s">
        <v>94</v>
      </c>
      <c r="B9" s="136" t="s">
        <v>1793</v>
      </c>
      <c r="C9" s="130" t="s">
        <v>720</v>
      </c>
      <c r="D9" s="130" t="s">
        <v>721</v>
      </c>
    </row>
    <row r="10" spans="1:4" x14ac:dyDescent="0.2">
      <c r="A10">
        <v>1100</v>
      </c>
      <c r="B10" t="s">
        <v>702</v>
      </c>
      <c r="C10" s="128">
        <f>ROUND('DOE25'!L198+'DOE25'!L216+'DOE25'!L234+'DOE25'!L277+'DOE25'!L296+'DOE25'!L315,0)</f>
        <v>1142232</v>
      </c>
      <c r="D10" s="131">
        <f>ROUND((C10/$C$28)*100,1)</f>
        <v>58</v>
      </c>
    </row>
    <row r="11" spans="1:4" x14ac:dyDescent="0.2">
      <c r="A11">
        <v>1200</v>
      </c>
      <c r="B11" t="s">
        <v>703</v>
      </c>
      <c r="C11" s="128">
        <f>ROUND('DOE25'!L199+'DOE25'!L217+'DOE25'!L235+'DOE25'!L278+'DOE25'!L297+'DOE25'!L316,0)</f>
        <v>563773</v>
      </c>
      <c r="D11" s="131">
        <f>ROUND((C11/$C$28)*100,1)</f>
        <v>28.6</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0</v>
      </c>
      <c r="D15" s="131">
        <f t="shared" ref="D15:D27" si="0">ROUND((C15/$C$28)*100,1)</f>
        <v>0</v>
      </c>
    </row>
    <row r="16" spans="1:4" x14ac:dyDescent="0.2">
      <c r="A16">
        <v>2200</v>
      </c>
      <c r="B16" t="s">
        <v>707</v>
      </c>
      <c r="C16" s="128">
        <f>ROUND('DOE25'!L204+'DOE25'!L222+'DOE25'!L240+'DOE25'!L283+'DOE25'!L302+'DOE25'!L321,0)</f>
        <v>0</v>
      </c>
      <c r="D16" s="131">
        <f t="shared" si="0"/>
        <v>0</v>
      </c>
    </row>
    <row r="17" spans="1:4" x14ac:dyDescent="0.2">
      <c r="A17" s="132" t="s">
        <v>723</v>
      </c>
      <c r="B17" t="s">
        <v>738</v>
      </c>
      <c r="C17" s="128">
        <f>ROUND('DOE25'!L205+'DOE25'!L210+'DOE25'!L223+'DOE25'!L228+'DOE25'!L241+'DOE25'!L246+'DOE25'!L284+'DOE25'!L289+'DOE25'!L303+'DOE25'!L308+'DOE25'!L322+'DOE25'!L327,0)</f>
        <v>47816</v>
      </c>
      <c r="D17" s="131">
        <f t="shared" si="0"/>
        <v>2.4</v>
      </c>
    </row>
    <row r="18" spans="1:4" x14ac:dyDescent="0.2">
      <c r="A18">
        <v>2400</v>
      </c>
      <c r="B18" t="s">
        <v>711</v>
      </c>
      <c r="C18" s="128">
        <f>ROUND('DOE25'!L206+'DOE25'!L224+'DOE25'!L242+'DOE25'!L285+'DOE25'!L304+'DOE25'!L323,0)</f>
        <v>0</v>
      </c>
      <c r="D18" s="131">
        <f t="shared" si="0"/>
        <v>0</v>
      </c>
    </row>
    <row r="19" spans="1:4" x14ac:dyDescent="0.2">
      <c r="A19">
        <v>2500</v>
      </c>
      <c r="B19" t="s">
        <v>708</v>
      </c>
      <c r="C19" s="128">
        <f>ROUND('DOE25'!L207+'DOE25'!L225+'DOE25'!L243+'DOE25'!L286+'DOE25'!L305+'DOE25'!L324,0)</f>
        <v>14691</v>
      </c>
      <c r="D19" s="131">
        <f t="shared" si="0"/>
        <v>0.7</v>
      </c>
    </row>
    <row r="20" spans="1:4" x14ac:dyDescent="0.2">
      <c r="A20">
        <v>2600</v>
      </c>
      <c r="B20" t="s">
        <v>709</v>
      </c>
      <c r="C20" s="128">
        <f>ROUND('DOE25'!L208+'DOE25'!L226+'DOE25'!L244+'DOE25'!L287+'DOE25'!L306+'DOE25'!L325,0)</f>
        <v>0</v>
      </c>
      <c r="D20" s="131">
        <f t="shared" si="0"/>
        <v>0</v>
      </c>
    </row>
    <row r="21" spans="1:4" x14ac:dyDescent="0.2">
      <c r="A21">
        <v>2700</v>
      </c>
      <c r="B21" t="s">
        <v>710</v>
      </c>
      <c r="C21" s="128">
        <f>ROUND('DOE25'!L209+'DOE25'!L227+'DOE25'!L245+'DOE25'!L288+'DOE25'!L307+'DOE25'!L326,0)</f>
        <v>200663</v>
      </c>
      <c r="D21" s="131">
        <f t="shared" si="0"/>
        <v>10.199999999999999</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0</v>
      </c>
      <c r="D27" s="131">
        <f t="shared" si="0"/>
        <v>0</v>
      </c>
    </row>
    <row r="28" spans="1:4" x14ac:dyDescent="0.2">
      <c r="B28" s="135" t="s">
        <v>719</v>
      </c>
      <c r="C28" s="129">
        <f>SUM(C10:C27)</f>
        <v>1969175</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1969175</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1253119</v>
      </c>
      <c r="D35" s="131">
        <f t="shared" ref="D35:D40" si="1">ROUND((C35/$C$41)*100,1)</f>
        <v>57.6</v>
      </c>
    </row>
    <row r="36" spans="1:4" x14ac:dyDescent="0.2">
      <c r="B36" s="71" t="s">
        <v>739</v>
      </c>
      <c r="C36" s="128">
        <f>SUM('DOE25'!F112:J112)-SUM('DOE25'!G97:G110)+('DOE25'!F175+'DOE25'!F176+'DOE25'!I175+'DOE25'!I176)-C35</f>
        <v>25609</v>
      </c>
      <c r="D36" s="131">
        <f t="shared" si="1"/>
        <v>1.2</v>
      </c>
    </row>
    <row r="37" spans="1:4" x14ac:dyDescent="0.2">
      <c r="A37" s="132" t="s">
        <v>831</v>
      </c>
      <c r="B37" s="71" t="s">
        <v>728</v>
      </c>
      <c r="C37" s="128">
        <f>ROUND('DOE25'!F117+'DOE25'!F118,0)</f>
        <v>851181</v>
      </c>
      <c r="D37" s="131">
        <f t="shared" si="1"/>
        <v>39.1</v>
      </c>
    </row>
    <row r="38" spans="1:4" x14ac:dyDescent="0.2">
      <c r="A38" s="132" t="s">
        <v>734</v>
      </c>
      <c r="B38" s="71" t="s">
        <v>729</v>
      </c>
      <c r="C38" s="128">
        <f>ROUND(SUM('DOE25'!F140:J140)-SUM('DOE25'!F117:F119),0)</f>
        <v>21376</v>
      </c>
      <c r="D38" s="131">
        <f t="shared" si="1"/>
        <v>1</v>
      </c>
    </row>
    <row r="39" spans="1:4" x14ac:dyDescent="0.2">
      <c r="A39">
        <v>4000</v>
      </c>
      <c r="B39" s="71" t="s">
        <v>730</v>
      </c>
      <c r="C39" s="128">
        <f>ROUND('DOE25'!F170+'DOE25'!G170+'DOE25'!H170+'DOE25'!I170,0)</f>
        <v>25084</v>
      </c>
      <c r="D39" s="131">
        <f t="shared" si="1"/>
        <v>1.2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2176369</v>
      </c>
      <c r="D41" s="133">
        <f>SUM(D35:D40)</f>
        <v>100.10000000000001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Sullivan</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IFERROR(SMALL($I$4:$I$385,ROWS($I$4:I4)),"")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2024-09-30T14:25:32Z</dcterms:modified>
</cp:coreProperties>
</file>