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9C3E39A8-8563-4494-8263-61230E84DE52}"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'DOE25'!$A$1:$L$673</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22" i="1" l="1"/>
  <c r="H523" i="1"/>
  <c r="H524" i="1"/>
  <c r="I522" i="1"/>
  <c r="I523" i="1"/>
  <c r="I524" i="1"/>
  <c r="H527" i="1" l="1"/>
  <c r="J592" i="1" l="1"/>
  <c r="I592" i="1"/>
  <c r="H592"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E111" i="2" s="1"/>
  <c r="L280" i="1"/>
  <c r="E112" i="2" s="1"/>
  <c r="L282" i="1"/>
  <c r="L283" i="1"/>
  <c r="L284" i="1"/>
  <c r="E120" i="2" s="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J111" i="1"/>
  <c r="J112" i="1" s="1"/>
  <c r="F121" i="1"/>
  <c r="F136" i="1"/>
  <c r="G121" i="1"/>
  <c r="G136" i="1"/>
  <c r="H121" i="1"/>
  <c r="H136" i="1"/>
  <c r="I121" i="1"/>
  <c r="I136" i="1"/>
  <c r="J121" i="1"/>
  <c r="J136" i="1"/>
  <c r="J140" i="1" s="1"/>
  <c r="F147" i="1"/>
  <c r="C85" i="2"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H653" i="1"/>
  <c r="G654" i="1"/>
  <c r="H654" i="1"/>
  <c r="H655" i="1"/>
  <c r="H656" i="1"/>
  <c r="H140" i="1" l="1"/>
  <c r="F409" i="1"/>
  <c r="H644" i="1" s="1"/>
  <c r="J644" i="1" s="1"/>
  <c r="F170" i="1"/>
  <c r="F85" i="2"/>
  <c r="H72" i="2"/>
  <c r="H113" i="2"/>
  <c r="I112" i="1"/>
  <c r="H13" i="2"/>
  <c r="H132" i="2"/>
  <c r="H36" i="2"/>
  <c r="H43" i="2"/>
  <c r="H89" i="2"/>
  <c r="C120" i="2"/>
  <c r="H120" i="2" s="1"/>
  <c r="H34" i="2"/>
  <c r="J652" i="1"/>
  <c r="G663" i="1"/>
  <c r="E13" i="13"/>
  <c r="C13" i="13" s="1"/>
  <c r="C112" i="2"/>
  <c r="H112" i="2" s="1"/>
  <c r="C119" i="2"/>
  <c r="D144" i="2"/>
  <c r="H47" i="2"/>
  <c r="H28" i="2"/>
  <c r="H24" i="2"/>
  <c r="H100" i="2"/>
  <c r="H79" i="2"/>
  <c r="H73" i="2"/>
  <c r="H97" i="2"/>
  <c r="H27" i="2"/>
  <c r="H125" i="2"/>
  <c r="H99" i="2"/>
  <c r="H143" i="2"/>
  <c r="H135" i="2"/>
  <c r="H59" i="2"/>
  <c r="H35" i="2"/>
  <c r="K36" i="14"/>
  <c r="K37" i="14" s="1"/>
  <c r="D15" i="13"/>
  <c r="C15" i="13" s="1"/>
  <c r="H94" i="2"/>
  <c r="H69" i="2"/>
  <c r="H25" i="2"/>
  <c r="H17" i="2"/>
  <c r="H8" i="2"/>
  <c r="H38" i="2"/>
  <c r="H44" i="2"/>
  <c r="H9" i="2"/>
  <c r="C12" i="10"/>
  <c r="H30" i="2"/>
  <c r="H102" i="2"/>
  <c r="H15" i="2"/>
  <c r="H101" i="2"/>
  <c r="H98" i="2"/>
  <c r="H76" i="2"/>
  <c r="H58" i="2"/>
  <c r="H48" i="2"/>
  <c r="H137" i="2"/>
  <c r="H87" i="2"/>
  <c r="H26" i="2"/>
  <c r="H93" i="2"/>
  <c r="H80" i="2"/>
  <c r="H22" i="2"/>
  <c r="H96" i="2"/>
  <c r="G646" i="1"/>
  <c r="H61" i="2"/>
  <c r="G62" i="2"/>
  <c r="C32" i="10"/>
  <c r="I409" i="1"/>
  <c r="G409" i="1"/>
  <c r="H646" i="1" s="1"/>
  <c r="G477" i="1"/>
  <c r="H624" i="1" s="1"/>
  <c r="J624" i="1" s="1"/>
  <c r="G662" i="1"/>
  <c r="D29" i="13"/>
  <c r="C29" i="13" s="1"/>
  <c r="H77" i="2"/>
  <c r="H12" i="2"/>
  <c r="H11" i="2"/>
  <c r="H477" i="1"/>
  <c r="H625" i="1" s="1"/>
  <c r="J625" i="1" s="1"/>
  <c r="C13" i="10"/>
  <c r="H29" i="2"/>
  <c r="H23" i="2"/>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H16" i="2"/>
  <c r="H21" i="2"/>
  <c r="J646" i="1"/>
  <c r="H119" i="2"/>
  <c r="I663" i="1"/>
  <c r="H131" i="2"/>
  <c r="H42" i="2"/>
  <c r="F194" i="1"/>
  <c r="G628" i="1" s="1"/>
  <c r="J628" i="1" s="1"/>
  <c r="H57" i="2"/>
  <c r="H122" i="2"/>
  <c r="H123" i="2"/>
  <c r="B33" i="16"/>
  <c r="H134" i="2"/>
  <c r="H103" i="2"/>
  <c r="H114" i="2"/>
  <c r="H85" i="2"/>
  <c r="H50" i="2"/>
  <c r="I662" i="1"/>
  <c r="D128" i="2"/>
  <c r="D145" i="2" s="1"/>
  <c r="H127" i="2"/>
  <c r="H62" i="2"/>
  <c r="D51" i="2"/>
  <c r="H31" i="2"/>
  <c r="H18" i="2"/>
  <c r="H91" i="2"/>
  <c r="C81" i="2"/>
  <c r="H81" i="2" s="1"/>
  <c r="H7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H144" i="2" s="1"/>
  <c r="H14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<sst xmlns="http://schemas.openxmlformats.org/spreadsheetml/2006/main" count="6639" uniqueCount="1841">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</sst>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1421</v>
      </c>
      <c r="B2">
        <f>INDEX('School Tables'!$AH$3:$AH$213,MATCH('DOE25'!A2,'School Tables'!$AJ$3:$AJ$213,0))</f>
        <v>515</v>
      </c>
      <c r="C2">
        <f>INDEX('School Tables'!$AI$3:$AI$213,MATCH('DOE25'!A2,'School Tables'!$AJ$3:$AJ$213,0))</f>
        <v>515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1136105</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70176</v>
      </c>
      <c r="G12" s="18">
        <v>12461</v>
      </c>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v>7809</v>
      </c>
      <c r="H13" s="18">
        <v>90619</v>
      </c>
      <c r="I13" s="18"/>
      <c r="J13" s="13">
        <f>SUM(I443)</f>
        <v>1231350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1206281</v>
      </c>
      <c r="G19" s="38">
        <f>SUM(G9:G18)</f>
        <v>20270</v>
      </c>
      <c r="H19" s="38">
        <f>SUM(H9:H18)</f>
        <v>90619</v>
      </c>
      <c r="I19" s="38">
        <f>SUM(I9:I18)</f>
        <v>0</v>
      </c>
      <c r="J19" s="38">
        <f>SUM(J9:J18)</f>
        <v>1231350</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v>82637</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12795</v>
      </c>
      <c r="G24" s="18">
        <v>75</v>
      </c>
      <c r="H24" s="18">
        <v>6332</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v>1650</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11910</v>
      </c>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24705</v>
      </c>
      <c r="G32" s="38">
        <f>SUM(G22:G31)</f>
        <v>75</v>
      </c>
      <c r="H32" s="38">
        <f>SUM(H22:H31)</f>
        <v>90619</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20195</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125000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v>0</v>
      </c>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500000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1231350</v>
      </c>
      <c r="K48" s="23" t="s">
        <v>288</v>
      </c>
      <c r="L48" s="23" t="s">
        <v>288</v>
      </c>
      <c r="M48" s="8"/>
      <c r="N48" s="164"/>
    </row>
    <row r="49" spans="1:14" s="3" customFormat="1" ht="12.2" customHeight="1" x14ac:dyDescent="0.15">
      <c r="A49" s="1" t="s">
        <v>855</v>
      </c>
      <c r="B49" s="2" t="s">
        <v>289</v>
      </c>
      <c r="C49" s="6">
        <v>34</v>
      </c>
      <c r="D49" s="2"/>
      <c r="E49" s="6">
        <v>753</v>
      </c>
      <c r="F49" s="18">
        <v>35427</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521149</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1181576</v>
      </c>
      <c r="G51" s="38">
        <f>SUM(G35:G50)</f>
        <v>20195</v>
      </c>
      <c r="H51" s="38">
        <f>SUM(H35:H50)</f>
        <v>0</v>
      </c>
      <c r="I51" s="38">
        <f>SUM(I35:I50)</f>
        <v>0</v>
      </c>
      <c r="J51" s="38">
        <f>SUM(J35:J50)</f>
        <v>1231350</v>
      </c>
      <c r="K51" s="42" t="s">
        <v>288</v>
      </c>
      <c r="L51" s="42" t="s">
        <v>288</v>
      </c>
      <c r="N51" s="130"/>
    </row>
    <row r="52" spans="1:14" s="3" customFormat="1" ht="12.2" customHeight="1" thickTop="1" x14ac:dyDescent="0.15">
      <c r="A52" s="35" t="s">
        <v>455</v>
      </c>
      <c r="B52" s="36" t="s">
        <v>289</v>
      </c>
      <c r="C52" s="6">
        <v>37</v>
      </c>
      <c r="D52" s="36" t="s">
        <v>653</v>
      </c>
      <c r="E52" s="36"/>
      <c r="F52" s="38">
        <f>F51+F32</f>
        <v>1206281</v>
      </c>
      <c r="G52" s="38">
        <f>G51+G32</f>
        <v>20270</v>
      </c>
      <c r="H52" s="38">
        <f>H51+H32</f>
        <v>90619</v>
      </c>
      <c r="I52" s="38">
        <f>I51+I32</f>
        <v>0</v>
      </c>
      <c r="J52" s="38">
        <f>J51+J32</f>
        <v>1231350</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10094815</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10094815</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113625</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895156</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27339</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1036120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3187</v>
      </c>
      <c r="G96" s="18"/>
      <c r="H96" s="18"/>
      <c r="I96" s="18"/>
      <c r="J96" s="18">
        <v>45971</v>
      </c>
      <c r="K96" s="23" t="s">
        <v>288</v>
      </c>
      <c r="L96" s="23" t="s">
        <v>288</v>
      </c>
      <c r="M96" s="8"/>
      <c r="N96" s="164"/>
    </row>
    <row r="97" spans="1:14" s="3" customFormat="1" ht="12.2" customHeight="1" x14ac:dyDescent="0.15">
      <c r="A97" s="1" t="s">
        <v>503</v>
      </c>
      <c r="B97" s="2" t="s">
        <v>315</v>
      </c>
      <c r="C97" s="6">
        <v>12</v>
      </c>
      <c r="D97" s="2" t="s">
        <v>430</v>
      </c>
      <c r="E97" s="6">
        <v>1600</v>
      </c>
      <c r="F97" s="23" t="s">
        <v>288</v>
      </c>
      <c r="G97" s="18">
        <v>98787</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v>225</v>
      </c>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150</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5733</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9070</v>
      </c>
      <c r="G111" s="38">
        <f>SUM(G96:G110)</f>
        <v>98787</v>
      </c>
      <c r="H111" s="38">
        <f>SUM(H96:H110)</f>
        <v>0</v>
      </c>
      <c r="I111" s="38">
        <f>SUM(I96:I110)</f>
        <v>0</v>
      </c>
      <c r="J111" s="38">
        <f>SUM(J96:J110)</f>
        <v>46196</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11140005</v>
      </c>
      <c r="G112" s="38">
        <f>G60+G111</f>
        <v>98787</v>
      </c>
      <c r="H112" s="38">
        <f>H60+H79+H94+H111</f>
        <v>0</v>
      </c>
      <c r="I112" s="38">
        <f>I60+I111</f>
        <v>0</v>
      </c>
      <c r="J112" s="38">
        <f>J60+J111</f>
        <v>46196</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2678474</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2037</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2680511</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232315</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2374</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136</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234689</v>
      </c>
      <c r="G136" s="38">
        <f>SUM(G123:G135)</f>
        <v>136</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2915200</v>
      </c>
      <c r="G140" s="38">
        <f>G121+SUM(G136:G137)</f>
        <v>136</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v>21063</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82208</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28914</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45243</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143914</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5</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v>12322</v>
      </c>
      <c r="H161" s="18">
        <v>31637</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5</v>
      </c>
      <c r="G163" s="38">
        <f>SUM(G150:G162)</f>
        <v>57565</v>
      </c>
      <c r="H163" s="38">
        <f>SUM(H150:H162)</f>
        <v>307736</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5</v>
      </c>
      <c r="G170" s="38">
        <f>G147+G163+SUM(G164:G169)</f>
        <v>57565</v>
      </c>
      <c r="H170" s="38">
        <f>H147+H163+SUM(H164:H169)</f>
        <v>307736</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18000</v>
      </c>
      <c r="H180" s="18"/>
      <c r="I180" s="18"/>
      <c r="J180" s="18">
        <v>175000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18000</v>
      </c>
      <c r="H184" s="38">
        <f>SUM(H180:H183)</f>
        <v>0</v>
      </c>
      <c r="I184" s="38">
        <f>SUM(I180:I183)</f>
        <v>0</v>
      </c>
      <c r="J184" s="38">
        <f>SUM(J180:J183)</f>
        <v>175000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18000</v>
      </c>
      <c r="H193" s="38">
        <f>+H184+SUM(H189:H192)</f>
        <v>0</v>
      </c>
      <c r="I193" s="38">
        <f>I178+I184+SUM(I189:I192)</f>
        <v>0</v>
      </c>
      <c r="J193" s="38">
        <f>J184</f>
        <v>175000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14055210</v>
      </c>
      <c r="G194" s="38">
        <f>G112+G140+G170+G193</f>
        <v>174488</v>
      </c>
      <c r="H194" s="38">
        <f>H112+H140+H170+H193</f>
        <v>307736</v>
      </c>
      <c r="I194" s="38">
        <f>I112+I140+I170+I193</f>
        <v>0</v>
      </c>
      <c r="J194" s="38">
        <f>J112+J140+J193</f>
        <v>221196</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1310820</v>
      </c>
      <c r="G198" s="18">
        <v>537694</v>
      </c>
      <c r="H198" s="18">
        <v>6673</v>
      </c>
      <c r="I198" s="18">
        <v>27751</v>
      </c>
      <c r="J198" s="18">
        <v>3048</v>
      </c>
      <c r="K198" s="18"/>
      <c r="L198" s="13">
        <f>SUM(F198:K198)</f>
        <v>1885986</v>
      </c>
      <c r="M198" s="8"/>
      <c r="N198" s="164"/>
    </row>
    <row r="199" spans="1:14" s="3" customFormat="1" ht="12.2" customHeight="1" x14ac:dyDescent="0.15">
      <c r="A199" s="1" t="s">
        <v>439</v>
      </c>
      <c r="B199" s="2" t="s">
        <v>341</v>
      </c>
      <c r="C199" s="2" t="s">
        <v>291</v>
      </c>
      <c r="D199" s="2" t="s">
        <v>431</v>
      </c>
      <c r="E199" s="6">
        <v>1200</v>
      </c>
      <c r="F199" s="18">
        <v>345344</v>
      </c>
      <c r="G199" s="18">
        <v>139118</v>
      </c>
      <c r="H199" s="18">
        <v>21367</v>
      </c>
      <c r="I199" s="18">
        <v>6818</v>
      </c>
      <c r="J199" s="18">
        <v>1021</v>
      </c>
      <c r="K199" s="18">
        <v>697</v>
      </c>
      <c r="L199" s="13">
        <f>SUM(F199:K199)</f>
        <v>514365</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19283</v>
      </c>
      <c r="G201" s="18">
        <v>23364</v>
      </c>
      <c r="H201" s="18">
        <v>2994</v>
      </c>
      <c r="I201" s="18">
        <v>826</v>
      </c>
      <c r="J201" s="18"/>
      <c r="K201" s="18"/>
      <c r="L201" s="13">
        <f>SUM(F201:K201)</f>
        <v>46467</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293636</v>
      </c>
      <c r="G203" s="18">
        <v>156809</v>
      </c>
      <c r="H203" s="18">
        <v>34782</v>
      </c>
      <c r="I203" s="18">
        <v>2461</v>
      </c>
      <c r="J203" s="18"/>
      <c r="K203" s="18"/>
      <c r="L203" s="13">
        <f t="shared" ref="L203:L209" si="0">SUM(F203:K203)</f>
        <v>487688</v>
      </c>
      <c r="M203" s="8"/>
      <c r="N203" s="164"/>
    </row>
    <row r="204" spans="1:14" s="3" customFormat="1" ht="12.2" customHeight="1" x14ac:dyDescent="0.15">
      <c r="A204" s="1" t="s">
        <v>443</v>
      </c>
      <c r="B204" s="2" t="s">
        <v>341</v>
      </c>
      <c r="C204" s="2" t="s">
        <v>295</v>
      </c>
      <c r="D204" s="2" t="s">
        <v>431</v>
      </c>
      <c r="E204" s="6">
        <v>2200</v>
      </c>
      <c r="F204" s="18">
        <v>142881</v>
      </c>
      <c r="G204" s="18">
        <v>84507</v>
      </c>
      <c r="H204" s="18">
        <v>41125</v>
      </c>
      <c r="I204" s="18">
        <v>44551</v>
      </c>
      <c r="J204" s="18">
        <v>10447</v>
      </c>
      <c r="K204" s="18"/>
      <c r="L204" s="13">
        <f t="shared" si="0"/>
        <v>323511</v>
      </c>
      <c r="M204" s="8"/>
      <c r="N204" s="164"/>
    </row>
    <row r="205" spans="1:14" s="3" customFormat="1" ht="12.2" customHeight="1" x14ac:dyDescent="0.15">
      <c r="A205" s="1" t="s">
        <v>444</v>
      </c>
      <c r="B205" s="2" t="s">
        <v>341</v>
      </c>
      <c r="C205" s="2" t="s">
        <v>296</v>
      </c>
      <c r="D205" s="2" t="s">
        <v>431</v>
      </c>
      <c r="E205" s="6">
        <v>2300</v>
      </c>
      <c r="F205" s="18">
        <v>126414</v>
      </c>
      <c r="G205" s="18">
        <v>68499</v>
      </c>
      <c r="H205" s="18">
        <v>22099</v>
      </c>
      <c r="I205" s="18">
        <v>16057</v>
      </c>
      <c r="J205" s="18"/>
      <c r="K205" s="18">
        <v>3481</v>
      </c>
      <c r="L205" s="13">
        <f t="shared" si="0"/>
        <v>236550</v>
      </c>
      <c r="M205" s="8"/>
      <c r="N205" s="164"/>
    </row>
    <row r="206" spans="1:14" s="3" customFormat="1" ht="12.2" customHeight="1" x14ac:dyDescent="0.15">
      <c r="A206" s="1" t="s">
        <v>445</v>
      </c>
      <c r="B206" s="2" t="s">
        <v>341</v>
      </c>
      <c r="C206" s="2" t="s">
        <v>297</v>
      </c>
      <c r="D206" s="2" t="s">
        <v>431</v>
      </c>
      <c r="E206" s="6">
        <v>2400</v>
      </c>
      <c r="F206" s="18">
        <v>119177</v>
      </c>
      <c r="G206" s="18">
        <v>70031</v>
      </c>
      <c r="H206" s="18">
        <v>878</v>
      </c>
      <c r="I206" s="18">
        <v>123</v>
      </c>
      <c r="J206" s="18"/>
      <c r="K206" s="18">
        <v>560</v>
      </c>
      <c r="L206" s="13">
        <f t="shared" si="0"/>
        <v>190769</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136000</v>
      </c>
      <c r="G208" s="18">
        <v>59990</v>
      </c>
      <c r="H208" s="18">
        <v>476494</v>
      </c>
      <c r="I208" s="18">
        <v>99041</v>
      </c>
      <c r="J208" s="18"/>
      <c r="K208" s="18"/>
      <c r="L208" s="13">
        <f t="shared" si="0"/>
        <v>771525</v>
      </c>
      <c r="M208" s="8"/>
      <c r="N208" s="164"/>
    </row>
    <row r="209" spans="1:14" s="3" customFormat="1" ht="12.2" customHeight="1" x14ac:dyDescent="0.15">
      <c r="A209" s="1" t="s">
        <v>448</v>
      </c>
      <c r="B209" s="2" t="s">
        <v>341</v>
      </c>
      <c r="C209" s="2" t="s">
        <v>300</v>
      </c>
      <c r="D209" s="2" t="s">
        <v>431</v>
      </c>
      <c r="E209" s="6">
        <v>2700</v>
      </c>
      <c r="F209" s="18">
        <v>82798</v>
      </c>
      <c r="G209" s="18">
        <v>46206</v>
      </c>
      <c r="H209" s="18">
        <v>6585</v>
      </c>
      <c r="I209" s="18">
        <v>11033</v>
      </c>
      <c r="J209" s="18">
        <v>71538</v>
      </c>
      <c r="K209" s="18">
        <v>359</v>
      </c>
      <c r="L209" s="13">
        <f t="shared" si="0"/>
        <v>218519</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2576353</v>
      </c>
      <c r="G212" s="38">
        <f t="shared" si="1"/>
        <v>1186218</v>
      </c>
      <c r="H212" s="38">
        <f t="shared" si="1"/>
        <v>612997</v>
      </c>
      <c r="I212" s="38">
        <f t="shared" si="1"/>
        <v>208661</v>
      </c>
      <c r="J212" s="38">
        <f t="shared" si="1"/>
        <v>86054</v>
      </c>
      <c r="K212" s="38">
        <f t="shared" si="1"/>
        <v>5097</v>
      </c>
      <c r="L212" s="38">
        <f t="shared" si="1"/>
        <v>4675380</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708365</v>
      </c>
      <c r="G216" s="18">
        <v>537694</v>
      </c>
      <c r="H216" s="18">
        <v>4257</v>
      </c>
      <c r="I216" s="18">
        <v>21375</v>
      </c>
      <c r="J216" s="18">
        <v>1501</v>
      </c>
      <c r="K216" s="18"/>
      <c r="L216" s="13">
        <f>SUM(F216:K216)</f>
        <v>1273192</v>
      </c>
      <c r="M216" s="8"/>
      <c r="N216" s="164"/>
    </row>
    <row r="217" spans="1:14" s="3" customFormat="1" ht="12.2" customHeight="1" x14ac:dyDescent="0.15">
      <c r="A217" s="1" t="s">
        <v>439</v>
      </c>
      <c r="B217" s="2" t="s">
        <v>346</v>
      </c>
      <c r="C217" s="2" t="s">
        <v>291</v>
      </c>
      <c r="D217" s="2" t="s">
        <v>431</v>
      </c>
      <c r="E217" s="6">
        <v>1200</v>
      </c>
      <c r="F217" s="18">
        <v>189008</v>
      </c>
      <c r="G217" s="18">
        <v>139118</v>
      </c>
      <c r="H217" s="18">
        <v>21367</v>
      </c>
      <c r="I217" s="18">
        <v>4549</v>
      </c>
      <c r="J217" s="18">
        <v>80</v>
      </c>
      <c r="K217" s="18">
        <v>697</v>
      </c>
      <c r="L217" s="13">
        <f>SUM(F217:K217)</f>
        <v>354819</v>
      </c>
      <c r="M217" s="8"/>
      <c r="N217" s="164"/>
    </row>
    <row r="218" spans="1:14" s="3" customFormat="1" ht="12.2" customHeight="1" x14ac:dyDescent="0.15">
      <c r="A218" s="1" t="s">
        <v>440</v>
      </c>
      <c r="B218" s="2" t="s">
        <v>346</v>
      </c>
      <c r="C218" s="2" t="s">
        <v>292</v>
      </c>
      <c r="D218" s="2" t="s">
        <v>431</v>
      </c>
      <c r="E218" s="6">
        <v>1300</v>
      </c>
      <c r="F218" s="18"/>
      <c r="G218" s="18"/>
      <c r="H218" s="18">
        <v>8603</v>
      </c>
      <c r="I218" s="18"/>
      <c r="J218" s="18"/>
      <c r="K218" s="18"/>
      <c r="L218" s="13">
        <f>SUM(F218:K218)</f>
        <v>8603</v>
      </c>
      <c r="M218" s="8"/>
      <c r="N218" s="164"/>
    </row>
    <row r="219" spans="1:14" s="3" customFormat="1" ht="12.2" customHeight="1" x14ac:dyDescent="0.15">
      <c r="A219" s="1" t="s">
        <v>441</v>
      </c>
      <c r="B219" s="2" t="s">
        <v>346</v>
      </c>
      <c r="C219" s="2" t="s">
        <v>293</v>
      </c>
      <c r="D219" s="2" t="s">
        <v>431</v>
      </c>
      <c r="E219" s="6">
        <v>1400</v>
      </c>
      <c r="F219" s="18">
        <v>52457</v>
      </c>
      <c r="G219" s="18">
        <v>26364</v>
      </c>
      <c r="H219" s="18">
        <v>10452</v>
      </c>
      <c r="I219" s="18">
        <v>19586</v>
      </c>
      <c r="J219" s="18"/>
      <c r="K219" s="18">
        <v>2240</v>
      </c>
      <c r="L219" s="13">
        <f>SUM(F219:K219)</f>
        <v>111099</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269345</v>
      </c>
      <c r="G221" s="18">
        <v>156809</v>
      </c>
      <c r="H221" s="18">
        <v>38200</v>
      </c>
      <c r="I221" s="18">
        <v>4342</v>
      </c>
      <c r="J221" s="18"/>
      <c r="K221" s="18"/>
      <c r="L221" s="13">
        <f t="shared" ref="L221:L227" si="2">SUM(F221:K221)</f>
        <v>468696</v>
      </c>
      <c r="M221" s="8"/>
      <c r="N221" s="164"/>
    </row>
    <row r="222" spans="1:14" s="3" customFormat="1" ht="12.2" customHeight="1" x14ac:dyDescent="0.15">
      <c r="A222" s="1" t="s">
        <v>443</v>
      </c>
      <c r="B222" s="2" t="s">
        <v>346</v>
      </c>
      <c r="C222" s="2" t="s">
        <v>295</v>
      </c>
      <c r="D222" s="2" t="s">
        <v>431</v>
      </c>
      <c r="E222" s="6">
        <v>2200</v>
      </c>
      <c r="F222" s="18">
        <v>105485</v>
      </c>
      <c r="G222" s="18">
        <v>79361</v>
      </c>
      <c r="H222" s="18">
        <v>45984</v>
      </c>
      <c r="I222" s="18">
        <v>22033</v>
      </c>
      <c r="J222" s="18">
        <v>-5609</v>
      </c>
      <c r="K222" s="18"/>
      <c r="L222" s="13">
        <f t="shared" si="2"/>
        <v>247254</v>
      </c>
      <c r="M222" s="8"/>
      <c r="N222" s="164"/>
    </row>
    <row r="223" spans="1:14" s="3" customFormat="1" ht="12.2" customHeight="1" x14ac:dyDescent="0.15">
      <c r="A223" s="1" t="s">
        <v>444</v>
      </c>
      <c r="B223" s="2" t="s">
        <v>346</v>
      </c>
      <c r="C223" s="2" t="s">
        <v>296</v>
      </c>
      <c r="D223" s="2" t="s">
        <v>431</v>
      </c>
      <c r="E223" s="6">
        <v>2300</v>
      </c>
      <c r="F223" s="18">
        <v>126414</v>
      </c>
      <c r="G223" s="18">
        <v>68499</v>
      </c>
      <c r="H223" s="18">
        <v>22099</v>
      </c>
      <c r="I223" s="18">
        <v>16058</v>
      </c>
      <c r="J223" s="18"/>
      <c r="K223" s="18">
        <v>3481</v>
      </c>
      <c r="L223" s="13">
        <f t="shared" si="2"/>
        <v>236551</v>
      </c>
      <c r="M223" s="8"/>
      <c r="N223" s="164"/>
    </row>
    <row r="224" spans="1:14" s="3" customFormat="1" ht="12.2" customHeight="1" x14ac:dyDescent="0.15">
      <c r="A224" s="1" t="s">
        <v>445</v>
      </c>
      <c r="B224" s="2" t="s">
        <v>346</v>
      </c>
      <c r="C224" s="2" t="s">
        <v>297</v>
      </c>
      <c r="D224" s="2" t="s">
        <v>431</v>
      </c>
      <c r="E224" s="6">
        <v>2400</v>
      </c>
      <c r="F224" s="18">
        <v>115558</v>
      </c>
      <c r="G224" s="18">
        <v>70031</v>
      </c>
      <c r="H224" s="18">
        <v>3129</v>
      </c>
      <c r="I224" s="18">
        <v>4192</v>
      </c>
      <c r="J224" s="18"/>
      <c r="K224" s="18">
        <v>2747</v>
      </c>
      <c r="L224" s="13">
        <f t="shared" si="2"/>
        <v>195657</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v>93310</v>
      </c>
      <c r="G226" s="18">
        <v>59990</v>
      </c>
      <c r="H226" s="18">
        <v>146477</v>
      </c>
      <c r="I226" s="18">
        <v>103024</v>
      </c>
      <c r="J226" s="18">
        <v>11179</v>
      </c>
      <c r="K226" s="18"/>
      <c r="L226" s="13">
        <f t="shared" si="2"/>
        <v>413980</v>
      </c>
      <c r="M226" s="8"/>
      <c r="N226" s="164"/>
    </row>
    <row r="227" spans="1:14" s="3" customFormat="1" ht="12.2" customHeight="1" x14ac:dyDescent="0.15">
      <c r="A227" s="1" t="s">
        <v>448</v>
      </c>
      <c r="B227" s="2" t="s">
        <v>346</v>
      </c>
      <c r="C227" s="2" t="s">
        <v>300</v>
      </c>
      <c r="D227" s="2" t="s">
        <v>431</v>
      </c>
      <c r="E227" s="6">
        <v>2700</v>
      </c>
      <c r="F227" s="18">
        <v>88222</v>
      </c>
      <c r="G227" s="18">
        <v>46206</v>
      </c>
      <c r="H227" s="18">
        <v>6585</v>
      </c>
      <c r="I227" s="18">
        <v>11033</v>
      </c>
      <c r="J227" s="18">
        <v>71538</v>
      </c>
      <c r="K227" s="18">
        <v>359</v>
      </c>
      <c r="L227" s="13">
        <f t="shared" si="2"/>
        <v>223943</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1748164</v>
      </c>
      <c r="G230" s="38">
        <f>SUM(G216:G229)</f>
        <v>1184072</v>
      </c>
      <c r="H230" s="38">
        <f>SUM(H216:H229)</f>
        <v>307153</v>
      </c>
      <c r="I230" s="38">
        <f>SUM(I216:I229)</f>
        <v>206192</v>
      </c>
      <c r="J230" s="38">
        <f>SUM(J216:J229)</f>
        <v>78689</v>
      </c>
      <c r="K230" s="38">
        <f t="shared" si="3"/>
        <v>9524</v>
      </c>
      <c r="L230" s="38">
        <f t="shared" si="3"/>
        <v>3533794</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1048721</v>
      </c>
      <c r="G234" s="18">
        <v>553988</v>
      </c>
      <c r="H234" s="18">
        <v>6386</v>
      </c>
      <c r="I234" s="18">
        <v>32063</v>
      </c>
      <c r="J234" s="18">
        <v>2251</v>
      </c>
      <c r="K234" s="18"/>
      <c r="L234" s="13">
        <f>SUM(F234:K234)</f>
        <v>1643409</v>
      </c>
      <c r="M234" s="8"/>
      <c r="N234" s="164"/>
    </row>
    <row r="235" spans="1:14" s="3" customFormat="1" ht="12.2" customHeight="1" x14ac:dyDescent="0.15">
      <c r="A235" s="1" t="s">
        <v>439</v>
      </c>
      <c r="B235" s="2" t="s">
        <v>350</v>
      </c>
      <c r="C235" s="2" t="s">
        <v>291</v>
      </c>
      <c r="D235" s="2" t="s">
        <v>431</v>
      </c>
      <c r="E235" s="6">
        <v>1200</v>
      </c>
      <c r="F235" s="18">
        <v>259407</v>
      </c>
      <c r="G235" s="18">
        <v>143333</v>
      </c>
      <c r="H235" s="18">
        <v>1020301</v>
      </c>
      <c r="I235" s="18">
        <v>5101</v>
      </c>
      <c r="J235" s="18">
        <v>120</v>
      </c>
      <c r="K235" s="18">
        <v>697</v>
      </c>
      <c r="L235" s="13">
        <f>SUM(F235:K235)</f>
        <v>1428959</v>
      </c>
      <c r="M235" s="8"/>
      <c r="N235" s="164"/>
    </row>
    <row r="236" spans="1:14" s="3" customFormat="1" ht="12.2" customHeight="1" x14ac:dyDescent="0.15">
      <c r="A236" s="1" t="s">
        <v>440</v>
      </c>
      <c r="B236" s="2" t="s">
        <v>350</v>
      </c>
      <c r="C236" s="2" t="s">
        <v>292</v>
      </c>
      <c r="D236" s="2" t="s">
        <v>431</v>
      </c>
      <c r="E236" s="6">
        <v>1300</v>
      </c>
      <c r="F236" s="18"/>
      <c r="G236" s="18"/>
      <c r="H236" s="18">
        <v>12904</v>
      </c>
      <c r="I236" s="18"/>
      <c r="J236" s="18"/>
      <c r="K236" s="18"/>
      <c r="L236" s="13">
        <f>SUM(F236:K236)</f>
        <v>12904</v>
      </c>
      <c r="M236" s="8"/>
      <c r="N236" s="164"/>
    </row>
    <row r="237" spans="1:14" s="3" customFormat="1" ht="12.2" customHeight="1" x14ac:dyDescent="0.15">
      <c r="A237" s="1" t="s">
        <v>441</v>
      </c>
      <c r="B237" s="2" t="s">
        <v>350</v>
      </c>
      <c r="C237" s="2" t="s">
        <v>293</v>
      </c>
      <c r="D237" s="2" t="s">
        <v>431</v>
      </c>
      <c r="E237" s="6">
        <v>1400</v>
      </c>
      <c r="F237" s="18">
        <v>78685</v>
      </c>
      <c r="G237" s="18">
        <v>27163</v>
      </c>
      <c r="H237" s="18">
        <v>15677</v>
      </c>
      <c r="I237" s="18">
        <v>29378</v>
      </c>
      <c r="J237" s="18"/>
      <c r="K237" s="18">
        <v>3360</v>
      </c>
      <c r="L237" s="13">
        <f>SUM(F237:K237)</f>
        <v>154263</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331719</v>
      </c>
      <c r="G239" s="18">
        <v>161561</v>
      </c>
      <c r="H239" s="18">
        <v>39909</v>
      </c>
      <c r="I239" s="18">
        <v>5652</v>
      </c>
      <c r="J239" s="18"/>
      <c r="K239" s="18"/>
      <c r="L239" s="13">
        <f t="shared" ref="L239:L245" si="4">SUM(F239:K239)</f>
        <v>538841</v>
      </c>
      <c r="M239" s="8"/>
      <c r="N239" s="164"/>
    </row>
    <row r="240" spans="1:14" s="3" customFormat="1" ht="12.2" customHeight="1" x14ac:dyDescent="0.15">
      <c r="A240" s="1" t="s">
        <v>443</v>
      </c>
      <c r="B240" s="2" t="s">
        <v>350</v>
      </c>
      <c r="C240" s="2" t="s">
        <v>295</v>
      </c>
      <c r="D240" s="2" t="s">
        <v>431</v>
      </c>
      <c r="E240" s="6">
        <v>2200</v>
      </c>
      <c r="F240" s="18">
        <v>130821</v>
      </c>
      <c r="G240" s="18">
        <v>83169</v>
      </c>
      <c r="H240" s="18">
        <v>48413</v>
      </c>
      <c r="I240" s="18">
        <v>25527</v>
      </c>
      <c r="J240" s="18">
        <v>-8500</v>
      </c>
      <c r="K240" s="18"/>
      <c r="L240" s="13">
        <f t="shared" si="4"/>
        <v>279430</v>
      </c>
      <c r="M240" s="8"/>
      <c r="N240" s="164"/>
    </row>
    <row r="241" spans="1:14" s="3" customFormat="1" ht="12.2" customHeight="1" x14ac:dyDescent="0.15">
      <c r="A241" s="1" t="s">
        <v>444</v>
      </c>
      <c r="B241" s="2" t="s">
        <v>350</v>
      </c>
      <c r="C241" s="2" t="s">
        <v>296</v>
      </c>
      <c r="D241" s="2" t="s">
        <v>431</v>
      </c>
      <c r="E241" s="6">
        <v>2300</v>
      </c>
      <c r="F241" s="18">
        <v>126414</v>
      </c>
      <c r="G241" s="18">
        <v>70513</v>
      </c>
      <c r="H241" s="18">
        <v>22099</v>
      </c>
      <c r="I241" s="18">
        <v>16057</v>
      </c>
      <c r="J241" s="18"/>
      <c r="K241" s="18">
        <v>3481</v>
      </c>
      <c r="L241" s="13">
        <f t="shared" si="4"/>
        <v>238564</v>
      </c>
      <c r="M241" s="8"/>
      <c r="N241" s="164"/>
    </row>
    <row r="242" spans="1:14" s="3" customFormat="1" ht="12.2" customHeight="1" x14ac:dyDescent="0.15">
      <c r="A242" s="1" t="s">
        <v>445</v>
      </c>
      <c r="B242" s="2" t="s">
        <v>350</v>
      </c>
      <c r="C242" s="2" t="s">
        <v>297</v>
      </c>
      <c r="D242" s="2" t="s">
        <v>431</v>
      </c>
      <c r="E242" s="6">
        <v>2400</v>
      </c>
      <c r="F242" s="18">
        <v>164841</v>
      </c>
      <c r="G242" s="18">
        <v>72154</v>
      </c>
      <c r="H242" s="18">
        <v>4693</v>
      </c>
      <c r="I242" s="18">
        <v>6289</v>
      </c>
      <c r="J242" s="18"/>
      <c r="K242" s="18">
        <v>4121</v>
      </c>
      <c r="L242" s="13">
        <f t="shared" si="4"/>
        <v>252098</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v>112973</v>
      </c>
      <c r="G244" s="18">
        <v>61808</v>
      </c>
      <c r="H244" s="18">
        <v>174457</v>
      </c>
      <c r="I244" s="18">
        <v>151615</v>
      </c>
      <c r="J244" s="18">
        <v>16768</v>
      </c>
      <c r="K244" s="18"/>
      <c r="L244" s="13">
        <f t="shared" si="4"/>
        <v>517621</v>
      </c>
      <c r="M244" s="8"/>
      <c r="N244" s="164"/>
    </row>
    <row r="245" spans="1:14" s="3" customFormat="1" ht="12.2" customHeight="1" x14ac:dyDescent="0.15">
      <c r="A245" s="1" t="s">
        <v>448</v>
      </c>
      <c r="B245" s="2" t="s">
        <v>350</v>
      </c>
      <c r="C245" s="2" t="s">
        <v>300</v>
      </c>
      <c r="D245" s="2" t="s">
        <v>431</v>
      </c>
      <c r="E245" s="6">
        <v>2700</v>
      </c>
      <c r="F245" s="18">
        <v>92283</v>
      </c>
      <c r="G245" s="18">
        <v>47604</v>
      </c>
      <c r="H245" s="18">
        <v>6585</v>
      </c>
      <c r="I245" s="18">
        <v>11033</v>
      </c>
      <c r="J245" s="18">
        <v>71538</v>
      </c>
      <c r="K245" s="18">
        <v>359</v>
      </c>
      <c r="L245" s="13">
        <f t="shared" si="4"/>
        <v>229402</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2345864</v>
      </c>
      <c r="G248" s="38">
        <f t="shared" si="5"/>
        <v>1221293</v>
      </c>
      <c r="H248" s="38">
        <f t="shared" si="5"/>
        <v>1351424</v>
      </c>
      <c r="I248" s="38">
        <f t="shared" si="5"/>
        <v>282715</v>
      </c>
      <c r="J248" s="38">
        <f t="shared" si="5"/>
        <v>82177</v>
      </c>
      <c r="K248" s="38">
        <f t="shared" si="5"/>
        <v>12018</v>
      </c>
      <c r="L248" s="38">
        <f t="shared" si="5"/>
        <v>5295491</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v>270000</v>
      </c>
      <c r="K256" s="18"/>
      <c r="L256" s="13">
        <f t="shared" si="6"/>
        <v>270000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270000</v>
      </c>
      <c r="K257" s="38">
        <f t="shared" si="7"/>
        <v>0</v>
      </c>
      <c r="L257" s="38">
        <f>SUM(F257:K257)</f>
        <v>270000</v>
      </c>
      <c r="M257" s="8"/>
      <c r="N257" s="164"/>
    </row>
    <row r="258" spans="1:14" s="3" customFormat="1" ht="12.2" customHeight="1" thickTop="1" x14ac:dyDescent="0.15">
      <c r="A258" s="35" t="s">
        <v>462</v>
      </c>
      <c r="B258" s="37">
        <v>10</v>
      </c>
      <c r="C258" s="37">
        <v>8</v>
      </c>
      <c r="D258" s="36" t="s">
        <v>431</v>
      </c>
      <c r="E258" s="37"/>
      <c r="F258" s="38">
        <f t="shared" ref="F258:L258" si="8">F212+F230+F248+F257</f>
        <v>6670381</v>
      </c>
      <c r="G258" s="38">
        <f t="shared" si="8"/>
        <v>3591583</v>
      </c>
      <c r="H258" s="38">
        <f t="shared" si="8"/>
        <v>2271574</v>
      </c>
      <c r="I258" s="38">
        <f t="shared" si="8"/>
        <v>697568</v>
      </c>
      <c r="J258" s="38">
        <f t="shared" si="8"/>
        <v>516920</v>
      </c>
      <c r="K258" s="38">
        <f t="shared" si="8"/>
        <v>26639</v>
      </c>
      <c r="L258" s="38">
        <f t="shared" si="8"/>
        <v>13774665</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423522</v>
      </c>
      <c r="L261" s="13">
        <f>SUM(F261:K261)</f>
        <v>423522</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156693</v>
      </c>
      <c r="L262" s="13">
        <f>SUM(F262:K262)</f>
        <v>156693</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18000</v>
      </c>
      <c r="L264" s="13">
        <f>SUM(F264:K264)</f>
        <v>18000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175000</v>
      </c>
      <c r="L267" s="13">
        <f t="shared" si="9"/>
        <v>175000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773215</v>
      </c>
      <c r="L271" s="38">
        <f t="shared" si="9"/>
        <v>773215</v>
      </c>
      <c r="M271" s="8"/>
      <c r="N271" s="164"/>
    </row>
    <row r="272" spans="1:14" s="33" customFormat="1" ht="12.2" customHeight="1" thickTop="1" x14ac:dyDescent="0.2">
      <c r="A272" s="40" t="s">
        <v>464</v>
      </c>
      <c r="B272" s="37">
        <v>10</v>
      </c>
      <c r="C272" s="37">
        <v>18</v>
      </c>
      <c r="D272" s="36" t="s">
        <v>431</v>
      </c>
      <c r="E272" s="37"/>
      <c r="F272" s="39">
        <f t="shared" ref="F272:L272" si="11">F258+F271</f>
        <v>6670381</v>
      </c>
      <c r="G272" s="39">
        <f t="shared" si="11"/>
        <v>3591583</v>
      </c>
      <c r="H272" s="39">
        <f t="shared" si="11"/>
        <v>2271574</v>
      </c>
      <c r="I272" s="39">
        <f t="shared" si="11"/>
        <v>697568</v>
      </c>
      <c r="J272" s="39">
        <f t="shared" si="11"/>
        <v>516920</v>
      </c>
      <c r="K272" s="39">
        <f t="shared" si="11"/>
        <v>799854</v>
      </c>
      <c r="L272" s="39">
        <f t="shared" si="11"/>
        <v>14547880</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97690</v>
      </c>
      <c r="G277" s="18"/>
      <c r="H277" s="18"/>
      <c r="I277" s="18"/>
      <c r="J277" s="18"/>
      <c r="K277" s="18"/>
      <c r="L277" s="13">
        <f>SUM(F277:K277)</f>
        <v>97690</v>
      </c>
      <c r="M277" s="8"/>
      <c r="N277" s="164"/>
    </row>
    <row r="278" spans="1:14" s="3" customFormat="1" ht="12.2" customHeight="1" x14ac:dyDescent="0.15">
      <c r="A278" s="1" t="s">
        <v>439</v>
      </c>
      <c r="B278" s="2" t="s">
        <v>357</v>
      </c>
      <c r="C278" s="2" t="s">
        <v>291</v>
      </c>
      <c r="D278" s="2" t="s">
        <v>431</v>
      </c>
      <c r="E278" s="6">
        <v>1200</v>
      </c>
      <c r="F278" s="18"/>
      <c r="G278" s="18"/>
      <c r="H278" s="18">
        <v>15296</v>
      </c>
      <c r="I278" s="18">
        <v>825</v>
      </c>
      <c r="J278" s="18"/>
      <c r="K278" s="18"/>
      <c r="L278" s="13">
        <f>SUM(F278:K278)</f>
        <v>16121</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4370</v>
      </c>
      <c r="G280" s="18"/>
      <c r="H280" s="18"/>
      <c r="I280" s="18"/>
      <c r="J280" s="18"/>
      <c r="K280" s="18"/>
      <c r="L280" s="13">
        <f>SUM(F280:K280)</f>
        <v>4370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v>663</v>
      </c>
      <c r="I282" s="18"/>
      <c r="J282" s="18"/>
      <c r="K282" s="18"/>
      <c r="L282" s="13">
        <f t="shared" ref="L282:L288" si="12">SUM(F282:K282)</f>
        <v>663</v>
      </c>
      <c r="M282" s="8"/>
      <c r="N282" s="164"/>
    </row>
    <row r="283" spans="1:14" s="3" customFormat="1" ht="12.2" customHeight="1" x14ac:dyDescent="0.15">
      <c r="A283" s="1" t="s">
        <v>443</v>
      </c>
      <c r="B283" s="2" t="s">
        <v>357</v>
      </c>
      <c r="C283" s="2" t="s">
        <v>295</v>
      </c>
      <c r="D283" s="2" t="s">
        <v>431</v>
      </c>
      <c r="E283" s="6">
        <v>2200</v>
      </c>
      <c r="F283" s="18">
        <v>475</v>
      </c>
      <c r="G283" s="18"/>
      <c r="H283" s="18">
        <v>8647</v>
      </c>
      <c r="I283" s="18"/>
      <c r="J283" s="18">
        <v>6874</v>
      </c>
      <c r="K283" s="18">
        <v>1085</v>
      </c>
      <c r="L283" s="13">
        <f t="shared" si="12"/>
        <v>17081</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v>31637</v>
      </c>
      <c r="I287" s="18"/>
      <c r="J287" s="18"/>
      <c r="K287" s="18"/>
      <c r="L287" s="13">
        <f t="shared" si="12"/>
        <v>31637</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102535</v>
      </c>
      <c r="G291" s="39">
        <f t="shared" si="13"/>
        <v>0</v>
      </c>
      <c r="H291" s="39">
        <f t="shared" si="13"/>
        <v>56243</v>
      </c>
      <c r="I291" s="39">
        <f t="shared" si="13"/>
        <v>825</v>
      </c>
      <c r="J291" s="39">
        <f t="shared" si="13"/>
        <v>6874</v>
      </c>
      <c r="K291" s="39">
        <f t="shared" si="13"/>
        <v>1085</v>
      </c>
      <c r="L291" s="38">
        <f t="shared" si="13"/>
        <v>167562</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31849</v>
      </c>
      <c r="G296" s="18"/>
      <c r="H296" s="18"/>
      <c r="I296" s="18"/>
      <c r="J296" s="18"/>
      <c r="K296" s="18"/>
      <c r="L296" s="13">
        <f>SUM(F296:K296)</f>
        <v>31849</v>
      </c>
      <c r="M296" s="8"/>
      <c r="N296" s="164"/>
    </row>
    <row r="297" spans="1:14" s="3" customFormat="1" ht="12.2" customHeight="1" x14ac:dyDescent="0.15">
      <c r="A297" s="1" t="s">
        <v>439</v>
      </c>
      <c r="B297" s="2" t="s">
        <v>358</v>
      </c>
      <c r="C297" s="2" t="s">
        <v>291</v>
      </c>
      <c r="D297" s="2" t="s">
        <v>431</v>
      </c>
      <c r="E297" s="6">
        <v>1200</v>
      </c>
      <c r="F297" s="18"/>
      <c r="G297" s="18"/>
      <c r="H297" s="18">
        <v>15297</v>
      </c>
      <c r="I297" s="18">
        <v>826</v>
      </c>
      <c r="J297" s="18"/>
      <c r="K297" s="18"/>
      <c r="L297" s="13">
        <f>SUM(F297:K297)</f>
        <v>16123</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v>4371</v>
      </c>
      <c r="G299" s="18"/>
      <c r="H299" s="18"/>
      <c r="I299" s="18"/>
      <c r="J299" s="18"/>
      <c r="K299" s="18"/>
      <c r="L299" s="13">
        <f>SUM(F299:K299)</f>
        <v>4371</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v>663</v>
      </c>
      <c r="I301" s="18"/>
      <c r="J301" s="18"/>
      <c r="K301" s="18"/>
      <c r="L301" s="13">
        <f t="shared" ref="L301:L307" si="14">SUM(F301:K301)</f>
        <v>663</v>
      </c>
      <c r="M301" s="8"/>
      <c r="N301" s="164"/>
    </row>
    <row r="302" spans="1:14" s="3" customFormat="1" ht="12.2" customHeight="1" x14ac:dyDescent="0.15">
      <c r="A302" s="1" t="s">
        <v>443</v>
      </c>
      <c r="B302" s="2" t="s">
        <v>358</v>
      </c>
      <c r="C302" s="2" t="s">
        <v>295</v>
      </c>
      <c r="D302" s="2" t="s">
        <v>431</v>
      </c>
      <c r="E302" s="6">
        <v>2200</v>
      </c>
      <c r="F302" s="18">
        <v>475</v>
      </c>
      <c r="G302" s="18"/>
      <c r="H302" s="18">
        <v>8647</v>
      </c>
      <c r="I302" s="18"/>
      <c r="J302" s="18">
        <v>6874</v>
      </c>
      <c r="K302" s="18">
        <v>1085</v>
      </c>
      <c r="L302" s="13">
        <f t="shared" si="14"/>
        <v>17081</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36695</v>
      </c>
      <c r="G310" s="39">
        <f t="shared" si="15"/>
        <v>0</v>
      </c>
      <c r="H310" s="39">
        <f t="shared" si="15"/>
        <v>24607</v>
      </c>
      <c r="I310" s="39">
        <f t="shared" si="15"/>
        <v>826</v>
      </c>
      <c r="J310" s="39">
        <f t="shared" si="15"/>
        <v>6874</v>
      </c>
      <c r="K310" s="39">
        <f t="shared" si="15"/>
        <v>1085</v>
      </c>
      <c r="L310" s="38">
        <f t="shared" si="15"/>
        <v>70087</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31849</v>
      </c>
      <c r="G315" s="18"/>
      <c r="H315" s="18"/>
      <c r="I315" s="18"/>
      <c r="J315" s="18"/>
      <c r="K315" s="18"/>
      <c r="L315" s="13">
        <f>SUM(F315:K315)</f>
        <v>31849</v>
      </c>
      <c r="M315" s="8"/>
      <c r="N315" s="164"/>
    </row>
    <row r="316" spans="1:14" s="3" customFormat="1" ht="12.2" customHeight="1" x14ac:dyDescent="0.15">
      <c r="A316" s="1" t="s">
        <v>439</v>
      </c>
      <c r="B316" s="2" t="s">
        <v>359</v>
      </c>
      <c r="C316" s="2" t="s">
        <v>291</v>
      </c>
      <c r="D316" s="2" t="s">
        <v>431</v>
      </c>
      <c r="E316" s="6">
        <v>1200</v>
      </c>
      <c r="F316" s="18"/>
      <c r="G316" s="18"/>
      <c r="H316" s="18">
        <v>15297</v>
      </c>
      <c r="I316" s="18">
        <v>826</v>
      </c>
      <c r="J316" s="18"/>
      <c r="K316" s="18"/>
      <c r="L316" s="13">
        <f>SUM(F316:K316)</f>
        <v>16123</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v>4371</v>
      </c>
      <c r="G318" s="18"/>
      <c r="H318" s="18"/>
      <c r="I318" s="18"/>
      <c r="J318" s="18"/>
      <c r="K318" s="18"/>
      <c r="L318" s="13">
        <f>SUM(F318:K318)</f>
        <v>4371</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v>663</v>
      </c>
      <c r="I320" s="18"/>
      <c r="J320" s="18"/>
      <c r="K320" s="18"/>
      <c r="L320" s="13">
        <f t="shared" ref="L320:L326" si="16">SUM(F320:K320)</f>
        <v>663</v>
      </c>
      <c r="M320" s="8"/>
      <c r="N320" s="164"/>
    </row>
    <row r="321" spans="1:14" s="3" customFormat="1" ht="12.2" customHeight="1" x14ac:dyDescent="0.15">
      <c r="A321" s="1" t="s">
        <v>443</v>
      </c>
      <c r="B321" s="2" t="s">
        <v>359</v>
      </c>
      <c r="C321" s="2" t="s">
        <v>295</v>
      </c>
      <c r="D321" s="2" t="s">
        <v>431</v>
      </c>
      <c r="E321" s="6">
        <v>2200</v>
      </c>
      <c r="F321" s="18">
        <v>475</v>
      </c>
      <c r="G321" s="18"/>
      <c r="H321" s="18">
        <v>8647</v>
      </c>
      <c r="I321" s="18"/>
      <c r="J321" s="18">
        <v>6874</v>
      </c>
      <c r="K321" s="18">
        <v>1085</v>
      </c>
      <c r="L321" s="13">
        <f t="shared" si="16"/>
        <v>17081</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36695</v>
      </c>
      <c r="G329" s="39">
        <f t="shared" si="17"/>
        <v>0</v>
      </c>
      <c r="H329" s="39">
        <f t="shared" si="17"/>
        <v>24607</v>
      </c>
      <c r="I329" s="39">
        <f t="shared" si="17"/>
        <v>826</v>
      </c>
      <c r="J329" s="39">
        <f t="shared" si="17"/>
        <v>6874</v>
      </c>
      <c r="K329" s="39">
        <f t="shared" si="17"/>
        <v>1085</v>
      </c>
      <c r="L329" s="38">
        <f t="shared" si="17"/>
        <v>70087</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175925</v>
      </c>
      <c r="G339" s="38">
        <f t="shared" si="20"/>
        <v>0</v>
      </c>
      <c r="H339" s="38">
        <f t="shared" si="20"/>
        <v>105457</v>
      </c>
      <c r="I339" s="38">
        <f t="shared" si="20"/>
        <v>2477</v>
      </c>
      <c r="J339" s="38">
        <f t="shared" si="20"/>
        <v>20622</v>
      </c>
      <c r="K339" s="38">
        <f t="shared" si="20"/>
        <v>3255</v>
      </c>
      <c r="L339" s="38">
        <f t="shared" si="20"/>
        <v>307736</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175925</v>
      </c>
      <c r="G353" s="38">
        <f>G339</f>
        <v>0</v>
      </c>
      <c r="H353" s="38">
        <f>H339</f>
        <v>105457</v>
      </c>
      <c r="I353" s="38">
        <f>I339</f>
        <v>2477</v>
      </c>
      <c r="J353" s="38">
        <f>J339</f>
        <v>20622</v>
      </c>
      <c r="K353" s="38">
        <f>K339+K352</f>
        <v>3255</v>
      </c>
      <c r="L353" s="38">
        <f>L339+L352</f>
        <v>307736</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27893</v>
      </c>
      <c r="G359" s="18"/>
      <c r="H359" s="18">
        <v>565</v>
      </c>
      <c r="I359" s="18">
        <v>28689</v>
      </c>
      <c r="J359" s="18">
        <v>463</v>
      </c>
      <c r="K359" s="18">
        <v>657</v>
      </c>
      <c r="L359" s="13">
        <f>SUM(F359:K359)</f>
        <v>58267</v>
      </c>
      <c r="M359" s="8"/>
      <c r="N359" s="164"/>
    </row>
    <row r="360" spans="1:22" s="3" customFormat="1" ht="12.2" customHeight="1" x14ac:dyDescent="0.15">
      <c r="A360" s="1" t="s">
        <v>542</v>
      </c>
      <c r="B360" s="2" t="s">
        <v>366</v>
      </c>
      <c r="C360" s="6">
        <v>2</v>
      </c>
      <c r="D360" s="2" t="s">
        <v>431</v>
      </c>
      <c r="E360" s="6"/>
      <c r="F360" s="18">
        <v>27893</v>
      </c>
      <c r="G360" s="18"/>
      <c r="H360" s="18">
        <v>564</v>
      </c>
      <c r="I360" s="18">
        <v>28688</v>
      </c>
      <c r="J360" s="18">
        <v>463</v>
      </c>
      <c r="K360" s="18">
        <v>656</v>
      </c>
      <c r="L360" s="13">
        <f>SUM(F360:K360)</f>
        <v>58264</v>
      </c>
      <c r="M360" s="8"/>
      <c r="N360" s="164"/>
    </row>
    <row r="361" spans="1:22" s="3" customFormat="1" ht="12.2" customHeight="1" x14ac:dyDescent="0.15">
      <c r="A361" s="3" t="s">
        <v>543</v>
      </c>
      <c r="B361" s="2" t="s">
        <v>366</v>
      </c>
      <c r="C361" s="6">
        <v>3</v>
      </c>
      <c r="D361" s="2" t="s">
        <v>431</v>
      </c>
      <c r="E361" s="6"/>
      <c r="F361" s="18">
        <v>27893</v>
      </c>
      <c r="G361" s="18"/>
      <c r="H361" s="18">
        <v>564</v>
      </c>
      <c r="I361" s="18">
        <v>28688</v>
      </c>
      <c r="J361" s="18">
        <v>463</v>
      </c>
      <c r="K361" s="18">
        <v>656</v>
      </c>
      <c r="L361" s="13">
        <f>SUM(F361:K361)</f>
        <v>58264</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83679</v>
      </c>
      <c r="G363" s="38">
        <f t="shared" si="22"/>
        <v>0</v>
      </c>
      <c r="H363" s="38">
        <f t="shared" si="22"/>
        <v>1693</v>
      </c>
      <c r="I363" s="38">
        <f t="shared" si="22"/>
        <v>86065</v>
      </c>
      <c r="J363" s="38">
        <f t="shared" si="22"/>
        <v>1389</v>
      </c>
      <c r="K363" s="38">
        <f t="shared" si="22"/>
        <v>1969</v>
      </c>
      <c r="L363" s="38">
        <f t="shared" si="22"/>
        <v>174795</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28672</v>
      </c>
      <c r="G368" s="18">
        <v>28673</v>
      </c>
      <c r="H368" s="18">
        <v>28673</v>
      </c>
      <c r="I368" s="13">
        <f>SUM(F368:H368)</f>
        <v>86018</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15</v>
      </c>
      <c r="G369" s="53">
        <v>16</v>
      </c>
      <c r="H369" s="53">
        <v>16</v>
      </c>
      <c r="I369" s="13">
        <f>SUM(F369:H369)</f>
        <v>47</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28687</v>
      </c>
      <c r="G370" s="38">
        <f>SUM(G368:G369)</f>
        <v>28689</v>
      </c>
      <c r="H370" s="38">
        <f>SUM(H368:H369)</f>
        <v>28689</v>
      </c>
      <c r="I370" s="38">
        <f>SUM(I368:I369)</f>
        <v>86065</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v>374733</v>
      </c>
      <c r="K381" s="18"/>
      <c r="L381" s="13">
        <f t="shared" si="23"/>
        <v>374733</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374733</v>
      </c>
      <c r="K383" s="38">
        <f t="shared" si="24"/>
        <v>0</v>
      </c>
      <c r="L383" s="38">
        <f t="shared" si="24"/>
        <v>374733</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v>100000</v>
      </c>
      <c r="H390" s="18">
        <v>17246</v>
      </c>
      <c r="I390" s="18"/>
      <c r="J390" s="23" t="s">
        <v>288</v>
      </c>
      <c r="K390" s="23" t="s">
        <v>288</v>
      </c>
      <c r="L390" s="13">
        <f t="shared" si="25"/>
        <v>117246</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v>75000</v>
      </c>
      <c r="H393" s="18">
        <v>21861</v>
      </c>
      <c r="I393" s="18"/>
      <c r="J393" s="23" t="s">
        <v>288</v>
      </c>
      <c r="K393" s="23" t="s">
        <v>288</v>
      </c>
      <c r="L393" s="13">
        <f t="shared" si="25"/>
        <v>96861</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175000</v>
      </c>
      <c r="H394" s="97">
        <f>SUM(H388:H393)</f>
        <v>39107</v>
      </c>
      <c r="I394" s="54">
        <f>SUM(I388:I393)</f>
        <v>0</v>
      </c>
      <c r="J394" s="42" t="s">
        <v>288</v>
      </c>
      <c r="K394" s="42" t="s">
        <v>288</v>
      </c>
      <c r="L394" s="38">
        <f>SUM(L388:L393)</f>
        <v>214107</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v>6864</v>
      </c>
      <c r="I401" s="18">
        <v>225</v>
      </c>
      <c r="J401" s="23" t="s">
        <v>288</v>
      </c>
      <c r="K401" s="23" t="s">
        <v>288</v>
      </c>
      <c r="L401" s="13">
        <f t="shared" si="26"/>
        <v>7089</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6864</v>
      </c>
      <c r="I402" s="38">
        <f>SUM(I396:I401)</f>
        <v>225</v>
      </c>
      <c r="J402" s="42" t="s">
        <v>288</v>
      </c>
      <c r="K402" s="42" t="s">
        <v>288</v>
      </c>
      <c r="L402" s="38">
        <f>SUM(L396:L401)</f>
        <v>7089</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175000</v>
      </c>
      <c r="H409" s="38">
        <f>H394+H402+H408</f>
        <v>45971</v>
      </c>
      <c r="I409" s="38">
        <f>I394+I402+I408</f>
        <v>225</v>
      </c>
      <c r="J409" s="23" t="s">
        <v>288</v>
      </c>
      <c r="K409" s="23" t="s">
        <v>288</v>
      </c>
      <c r="L409" s="38">
        <f>L394+L402+L408</f>
        <v>221196</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v>94000</v>
      </c>
      <c r="I416" s="18"/>
      <c r="J416" s="18"/>
      <c r="K416" s="18"/>
      <c r="L416" s="13">
        <f t="shared" si="27"/>
        <v>94000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94000</v>
      </c>
      <c r="I420" s="97">
        <f t="shared" si="28"/>
        <v>0</v>
      </c>
      <c r="J420" s="97">
        <f t="shared" si="28"/>
        <v>0</v>
      </c>
      <c r="K420" s="97">
        <f t="shared" si="28"/>
        <v>0</v>
      </c>
      <c r="L420" s="38">
        <f t="shared" si="28"/>
        <v>94000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v>7000</v>
      </c>
      <c r="I427" s="18"/>
      <c r="J427" s="18"/>
      <c r="K427" s="18"/>
      <c r="L427" s="13">
        <f t="shared" si="29"/>
        <v>7000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7000</v>
      </c>
      <c r="I428" s="38">
        <f t="shared" si="30"/>
        <v>0</v>
      </c>
      <c r="J428" s="38">
        <f t="shared" si="30"/>
        <v>0</v>
      </c>
      <c r="K428" s="38">
        <f t="shared" si="30"/>
        <v>0</v>
      </c>
      <c r="L428" s="38">
        <f t="shared" si="30"/>
        <v>7000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101000</v>
      </c>
      <c r="I435" s="38">
        <f t="shared" si="32"/>
        <v>0</v>
      </c>
      <c r="J435" s="38">
        <f t="shared" si="32"/>
        <v>0</v>
      </c>
      <c r="K435" s="38">
        <f t="shared" si="32"/>
        <v>0</v>
      </c>
      <c r="L435" s="38">
        <f t="shared" si="32"/>
        <v>101000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v>1073329</v>
      </c>
      <c r="G443" s="18">
        <v>158021</v>
      </c>
      <c r="H443" s="18"/>
      <c r="I443" s="13">
        <f t="shared" si="33"/>
        <v>1231350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1073329</v>
      </c>
      <c r="G447" s="13">
        <f>SUM(G440:G446)</f>
        <v>158021</v>
      </c>
      <c r="H447" s="13">
        <f>SUM(H440:H446)</f>
        <v>0</v>
      </c>
      <c r="I447" s="13">
        <f>SUM(I440:I446)</f>
        <v>1231350</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1073329</v>
      </c>
      <c r="G460" s="18">
        <v>158021</v>
      </c>
      <c r="H460" s="18"/>
      <c r="I460" s="13">
        <f t="shared" si="34"/>
        <v>1231350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1073329</v>
      </c>
      <c r="G461" s="65">
        <f>SUM(G455:G460)</f>
        <v>158021</v>
      </c>
      <c r="H461" s="65">
        <f>SUM(H455:H460)</f>
        <v>0</v>
      </c>
      <c r="I461" s="65">
        <f>SUM(I455:I460)</f>
        <v>1231350</v>
      </c>
      <c r="J461" s="23" t="s">
        <v>288</v>
      </c>
      <c r="K461" s="23" t="s">
        <v>288</v>
      </c>
      <c r="L461" s="23" t="s">
        <v>288</v>
      </c>
      <c r="N461" s="130"/>
    </row>
    <row r="462" spans="1:86" ht="12.2" customHeight="1" thickTop="1" x14ac:dyDescent="0.2">
      <c r="A462" s="40" t="s">
        <v>424</v>
      </c>
      <c r="B462" s="41">
        <v>18</v>
      </c>
      <c r="C462" s="64">
        <v>21</v>
      </c>
      <c r="D462" s="114" t="s">
        <v>432</v>
      </c>
      <c r="E462" s="64"/>
      <c r="F462" s="39">
        <f>F453+F461</f>
        <v>1073329</v>
      </c>
      <c r="G462" s="39">
        <f>G453+G461</f>
        <v>158021</v>
      </c>
      <c r="H462" s="39">
        <f>H453+H461</f>
        <v>0</v>
      </c>
      <c r="I462" s="39">
        <f>I453+I461</f>
        <v>1231350</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1674246</v>
      </c>
      <c r="G466" s="18">
        <v>20502</v>
      </c>
      <c r="H466" s="18">
        <v>0</v>
      </c>
      <c r="I466" s="18">
        <v>374733</v>
      </c>
      <c r="J466" s="18">
        <v>1111154</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14055210</v>
      </c>
      <c r="G469" s="18">
        <v>174488</v>
      </c>
      <c r="H469" s="18">
        <v>307736</v>
      </c>
      <c r="I469" s="18"/>
      <c r="J469" s="18">
        <v>221196</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14055210</v>
      </c>
      <c r="G471" s="19">
        <f>SUM(G469:G470)</f>
        <v>174488</v>
      </c>
      <c r="H471" s="19">
        <f>SUM(H469:H470)</f>
        <v>307736</v>
      </c>
      <c r="I471" s="19">
        <f>SUM(I469:I470)</f>
        <v>0</v>
      </c>
      <c r="J471" s="19">
        <f>SUM(J469:J470)</f>
        <v>221196</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14547880</v>
      </c>
      <c r="G473" s="18">
        <v>174795</v>
      </c>
      <c r="H473" s="18">
        <v>307736</v>
      </c>
      <c r="I473" s="18">
        <v>374733</v>
      </c>
      <c r="J473" s="18">
        <v>101000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14547880</v>
      </c>
      <c r="G475" s="19">
        <f>SUM(G473:G474)</f>
        <v>174795</v>
      </c>
      <c r="H475" s="19">
        <f>SUM(H473:H474)</f>
        <v>307736</v>
      </c>
      <c r="I475" s="19">
        <f>SUM(I473:I474)</f>
        <v>374733</v>
      </c>
      <c r="J475" s="19">
        <f>SUM(J473:J474)</f>
        <v>101000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1181576</v>
      </c>
      <c r="G477" s="19">
        <f>(G466+G471)- G475</f>
        <v>20195</v>
      </c>
      <c r="H477" s="19">
        <f>(H466+H471)- H475</f>
        <v>0</v>
      </c>
      <c r="I477" s="19">
        <f>(I466+I471)- I475</f>
        <v>0</v>
      </c>
      <c r="J477" s="19">
        <f>(J466+J471)- J475</f>
        <v>1231350</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314011</v>
      </c>
      <c r="G522" s="18">
        <v>127592</v>
      </c>
      <c r="H522" s="18">
        <f>354345+15296</f>
        <v>369641</v>
      </c>
      <c r="I522" s="18">
        <f>6818+825</f>
        <v>7643</v>
      </c>
      <c r="J522" s="18">
        <v>1021</v>
      </c>
      <c r="K522" s="18">
        <v>697</v>
      </c>
      <c r="L522" s="69">
        <f>SUM(F522:K522)</f>
        <v>820605</v>
      </c>
      <c r="N522" s="130"/>
    </row>
    <row r="523" spans="1:14" ht="12.2" customHeight="1" x14ac:dyDescent="0.2">
      <c r="A523" s="21" t="s">
        <v>634</v>
      </c>
      <c r="B523" s="22">
        <v>21</v>
      </c>
      <c r="C523" s="22">
        <v>2</v>
      </c>
      <c r="D523" s="2" t="s">
        <v>432</v>
      </c>
      <c r="E523" s="22"/>
      <c r="F523" s="18">
        <v>157675</v>
      </c>
      <c r="G523" s="18">
        <v>127592</v>
      </c>
      <c r="H523" s="18">
        <f>354345+15296</f>
        <v>369641</v>
      </c>
      <c r="I523" s="18">
        <f>4549+825</f>
        <v>5374</v>
      </c>
      <c r="J523" s="18">
        <v>80</v>
      </c>
      <c r="K523" s="18">
        <v>697</v>
      </c>
      <c r="L523" s="69">
        <f>SUM(F523:K523)</f>
        <v>661059</v>
      </c>
      <c r="N523" s="130"/>
    </row>
    <row r="524" spans="1:14" ht="12.2" customHeight="1" thickBot="1" x14ac:dyDescent="0.25">
      <c r="A524" s="21" t="s">
        <v>635</v>
      </c>
      <c r="B524" s="22">
        <v>21</v>
      </c>
      <c r="C524" s="22">
        <v>3</v>
      </c>
      <c r="D524" s="2" t="s">
        <v>432</v>
      </c>
      <c r="E524" s="22"/>
      <c r="F524" s="18">
        <v>228073</v>
      </c>
      <c r="G524" s="18">
        <v>131807</v>
      </c>
      <c r="H524" s="18">
        <f>354345+15297</f>
        <v>369642</v>
      </c>
      <c r="I524" s="18">
        <f>5101+826</f>
        <v>5927</v>
      </c>
      <c r="J524" s="18">
        <v>120</v>
      </c>
      <c r="K524" s="18">
        <v>697</v>
      </c>
      <c r="L524" s="69">
        <f>SUM(F524:K524)</f>
        <v>736266</v>
      </c>
      <c r="N524" s="130"/>
    </row>
    <row r="525" spans="1:14" ht="12.2" customHeight="1" thickTop="1" x14ac:dyDescent="0.2">
      <c r="A525" s="97" t="s">
        <v>63</v>
      </c>
      <c r="B525" s="41">
        <v>21</v>
      </c>
      <c r="C525" s="41">
        <v>4</v>
      </c>
      <c r="D525" s="115" t="s">
        <v>432</v>
      </c>
      <c r="E525" s="41"/>
      <c r="F525" s="81">
        <f>SUM(F522:F524)</f>
        <v>699759</v>
      </c>
      <c r="G525" s="81">
        <f t="shared" ref="G525:L525" si="36">SUM(G522:G524)</f>
        <v>386991</v>
      </c>
      <c r="H525" s="81">
        <f t="shared" si="36"/>
        <v>1108924</v>
      </c>
      <c r="I525" s="81">
        <f t="shared" si="36"/>
        <v>18944</v>
      </c>
      <c r="J525" s="81">
        <f t="shared" si="36"/>
        <v>1221</v>
      </c>
      <c r="K525" s="81">
        <f t="shared" si="36"/>
        <v>2091</v>
      </c>
      <c r="L525" s="70">
        <f t="shared" si="36"/>
        <v>2217930</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144598</v>
      </c>
      <c r="G527" s="18">
        <v>91472</v>
      </c>
      <c r="H527" s="18">
        <f>34782+663</f>
        <v>35445</v>
      </c>
      <c r="I527" s="18">
        <v>1722</v>
      </c>
      <c r="J527" s="18">
        <v>0</v>
      </c>
      <c r="K527" s="18">
        <v>0</v>
      </c>
      <c r="L527" s="69">
        <f>SUM(F527:K527)</f>
        <v>273237</v>
      </c>
      <c r="M527" s="8"/>
      <c r="N527" s="164"/>
    </row>
    <row r="528" spans="1:14" s="3" customFormat="1" ht="12.2" customHeight="1" x14ac:dyDescent="0.15">
      <c r="A528" s="21" t="s">
        <v>634</v>
      </c>
      <c r="B528" s="22">
        <v>21</v>
      </c>
      <c r="C528" s="22">
        <v>6</v>
      </c>
      <c r="D528" s="2" t="s">
        <v>432</v>
      </c>
      <c r="E528" s="22"/>
      <c r="F528" s="18">
        <v>144598</v>
      </c>
      <c r="G528" s="18">
        <v>91472</v>
      </c>
      <c r="H528" s="18">
        <v>35445</v>
      </c>
      <c r="I528" s="18">
        <v>1722</v>
      </c>
      <c r="J528" s="18">
        <v>0</v>
      </c>
      <c r="K528" s="18">
        <v>0</v>
      </c>
      <c r="L528" s="69">
        <f>SUM(F528:K528)</f>
        <v>273237</v>
      </c>
      <c r="M528" s="8"/>
      <c r="N528" s="164"/>
    </row>
    <row r="529" spans="1:14" s="3" customFormat="1" ht="12.2" customHeight="1" thickBot="1" x14ac:dyDescent="0.2">
      <c r="A529" s="21" t="s">
        <v>635</v>
      </c>
      <c r="B529" s="22">
        <v>21</v>
      </c>
      <c r="C529" s="22">
        <v>7</v>
      </c>
      <c r="D529" s="2" t="s">
        <v>432</v>
      </c>
      <c r="E529" s="22"/>
      <c r="F529" s="18">
        <v>144598</v>
      </c>
      <c r="G529" s="18">
        <v>91472</v>
      </c>
      <c r="H529" s="18">
        <v>35445</v>
      </c>
      <c r="I529" s="18">
        <v>1722</v>
      </c>
      <c r="J529" s="18">
        <v>0</v>
      </c>
      <c r="K529" s="18">
        <v>0</v>
      </c>
      <c r="L529" s="69">
        <f>SUM(F529:K529)</f>
        <v>273237</v>
      </c>
      <c r="M529" s="8"/>
      <c r="N529" s="164"/>
    </row>
    <row r="530" spans="1:14" s="3" customFormat="1" ht="12.2" customHeight="1" thickTop="1" x14ac:dyDescent="0.15">
      <c r="A530" s="97" t="s">
        <v>65</v>
      </c>
      <c r="B530" s="41">
        <v>21</v>
      </c>
      <c r="C530" s="41">
        <v>8</v>
      </c>
      <c r="D530" s="115" t="s">
        <v>432</v>
      </c>
      <c r="E530" s="41"/>
      <c r="F530" s="70">
        <f>SUM(F527:F529)</f>
        <v>433794</v>
      </c>
      <c r="G530" s="70">
        <f t="shared" ref="G530:L530" si="37">SUM(G527:G529)</f>
        <v>274416</v>
      </c>
      <c r="H530" s="70">
        <f t="shared" si="37"/>
        <v>106335</v>
      </c>
      <c r="I530" s="70">
        <f t="shared" si="37"/>
        <v>5166</v>
      </c>
      <c r="J530" s="70">
        <f t="shared" si="37"/>
        <v>0</v>
      </c>
      <c r="K530" s="70">
        <f t="shared" si="37"/>
        <v>0</v>
      </c>
      <c r="L530" s="70">
        <f t="shared" si="37"/>
        <v>819711</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31333</v>
      </c>
      <c r="G532" s="18">
        <v>11526</v>
      </c>
      <c r="H532" s="18"/>
      <c r="I532" s="18"/>
      <c r="J532" s="18"/>
      <c r="K532" s="18"/>
      <c r="L532" s="69">
        <f>SUM(F532:K532)</f>
        <v>42859</v>
      </c>
      <c r="M532" s="8"/>
      <c r="N532" s="164"/>
    </row>
    <row r="533" spans="1:14" s="3" customFormat="1" ht="12.2" customHeight="1" x14ac:dyDescent="0.15">
      <c r="A533" s="21" t="s">
        <v>634</v>
      </c>
      <c r="B533" s="22">
        <v>21</v>
      </c>
      <c r="C533" s="22">
        <v>10</v>
      </c>
      <c r="D533" s="2" t="s">
        <v>432</v>
      </c>
      <c r="E533" s="22"/>
      <c r="F533" s="18">
        <v>31333</v>
      </c>
      <c r="G533" s="18">
        <v>11526</v>
      </c>
      <c r="H533" s="18"/>
      <c r="I533" s="18"/>
      <c r="J533" s="18"/>
      <c r="K533" s="18"/>
      <c r="L533" s="69">
        <f>SUM(F533:K533)</f>
        <v>42859</v>
      </c>
      <c r="M533" s="8"/>
      <c r="N533" s="164"/>
    </row>
    <row r="534" spans="1:14" s="3" customFormat="1" ht="12.2" customHeight="1" thickBot="1" x14ac:dyDescent="0.2">
      <c r="A534" s="21" t="s">
        <v>635</v>
      </c>
      <c r="B534" s="22">
        <v>21</v>
      </c>
      <c r="C534" s="22">
        <v>11</v>
      </c>
      <c r="D534" s="2" t="s">
        <v>432</v>
      </c>
      <c r="E534" s="22"/>
      <c r="F534" s="18">
        <v>31334</v>
      </c>
      <c r="G534" s="18">
        <v>11526</v>
      </c>
      <c r="H534" s="18"/>
      <c r="I534" s="18"/>
      <c r="J534" s="18"/>
      <c r="K534" s="18"/>
      <c r="L534" s="69">
        <f>SUM(F534:K534)</f>
        <v>42860</v>
      </c>
      <c r="M534" s="8"/>
      <c r="N534" s="164"/>
    </row>
    <row r="535" spans="1:14" s="3" customFormat="1" ht="12.2" customHeight="1" thickTop="1" x14ac:dyDescent="0.15">
      <c r="A535" s="97" t="s">
        <v>67</v>
      </c>
      <c r="B535" s="41">
        <v>21</v>
      </c>
      <c r="C535" s="41">
        <v>12</v>
      </c>
      <c r="D535" s="115" t="s">
        <v>432</v>
      </c>
      <c r="E535" s="41"/>
      <c r="F535" s="70">
        <f>SUM(F532:F534)</f>
        <v>94000</v>
      </c>
      <c r="G535" s="70">
        <f t="shared" ref="G535:L535" si="38">SUM(G532:G534)</f>
        <v>34578</v>
      </c>
      <c r="H535" s="70">
        <f t="shared" si="38"/>
        <v>0</v>
      </c>
      <c r="I535" s="70">
        <f t="shared" si="38"/>
        <v>0</v>
      </c>
      <c r="J535" s="70">
        <f t="shared" si="38"/>
        <v>0</v>
      </c>
      <c r="K535" s="70">
        <f t="shared" si="38"/>
        <v>0</v>
      </c>
      <c r="L535" s="70">
        <f t="shared" si="38"/>
        <v>128578</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1449</v>
      </c>
      <c r="I537" s="18"/>
      <c r="J537" s="18"/>
      <c r="K537" s="18"/>
      <c r="L537" s="69">
        <f>SUM(F537:K537)</f>
        <v>1449</v>
      </c>
      <c r="M537" s="8"/>
      <c r="N537" s="164"/>
    </row>
    <row r="538" spans="1:14" s="3" customFormat="1" ht="12.2" customHeight="1" x14ac:dyDescent="0.15">
      <c r="A538" s="21" t="s">
        <v>634</v>
      </c>
      <c r="B538" s="22">
        <v>21</v>
      </c>
      <c r="C538" s="22">
        <v>14</v>
      </c>
      <c r="D538" s="2" t="s">
        <v>432</v>
      </c>
      <c r="E538" s="22"/>
      <c r="F538" s="18"/>
      <c r="G538" s="18"/>
      <c r="H538" s="18">
        <v>1449</v>
      </c>
      <c r="I538" s="18"/>
      <c r="J538" s="18"/>
      <c r="K538" s="18"/>
      <c r="L538" s="69">
        <f>SUM(F538:K538)</f>
        <v>1449</v>
      </c>
      <c r="M538" s="8"/>
      <c r="N538" s="164"/>
    </row>
    <row r="539" spans="1:14" s="3" customFormat="1" ht="12.2" customHeight="1" thickBot="1" x14ac:dyDescent="0.2">
      <c r="A539" s="21" t="s">
        <v>635</v>
      </c>
      <c r="B539" s="22">
        <v>21</v>
      </c>
      <c r="C539" s="22">
        <v>15</v>
      </c>
      <c r="D539" s="2" t="s">
        <v>432</v>
      </c>
      <c r="E539" s="22"/>
      <c r="F539" s="18"/>
      <c r="G539" s="18"/>
      <c r="H539" s="18">
        <v>1449</v>
      </c>
      <c r="I539" s="18"/>
      <c r="J539" s="18"/>
      <c r="K539" s="18"/>
      <c r="L539" s="69">
        <f>SUM(F539:K539)</f>
        <v>1449</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4347</v>
      </c>
      <c r="I540" s="70">
        <f t="shared" si="39"/>
        <v>0</v>
      </c>
      <c r="J540" s="70">
        <f t="shared" si="39"/>
        <v>0</v>
      </c>
      <c r="K540" s="70">
        <f t="shared" si="39"/>
        <v>0</v>
      </c>
      <c r="L540" s="70">
        <f t="shared" si="39"/>
        <v>4347</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19191</v>
      </c>
      <c r="G542" s="18"/>
      <c r="H542" s="18"/>
      <c r="I542" s="18"/>
      <c r="J542" s="18"/>
      <c r="K542" s="18"/>
      <c r="L542" s="69">
        <f>SUM(F542:K542)</f>
        <v>19191</v>
      </c>
      <c r="M542" s="8"/>
      <c r="N542" s="164"/>
    </row>
    <row r="543" spans="1:14" s="3" customFormat="1" ht="12.2" customHeight="1" x14ac:dyDescent="0.15">
      <c r="A543" s="21" t="s">
        <v>634</v>
      </c>
      <c r="B543" s="22">
        <v>21</v>
      </c>
      <c r="C543" s="22">
        <v>18</v>
      </c>
      <c r="D543" s="2" t="s">
        <v>432</v>
      </c>
      <c r="E543" s="22"/>
      <c r="F543" s="18">
        <v>19191</v>
      </c>
      <c r="G543" s="18"/>
      <c r="H543" s="18"/>
      <c r="I543" s="18"/>
      <c r="J543" s="18"/>
      <c r="K543" s="18"/>
      <c r="L543" s="69">
        <f>SUM(F543:K543)</f>
        <v>19191</v>
      </c>
      <c r="M543" s="8"/>
      <c r="N543" s="164"/>
    </row>
    <row r="544" spans="1:14" s="3" customFormat="1" ht="12.2" customHeight="1" thickBot="1" x14ac:dyDescent="0.2">
      <c r="A544" s="21" t="s">
        <v>635</v>
      </c>
      <c r="B544" s="22">
        <v>21</v>
      </c>
      <c r="C544" s="22">
        <v>19</v>
      </c>
      <c r="D544" s="2" t="s">
        <v>432</v>
      </c>
      <c r="E544" s="22"/>
      <c r="F544" s="18">
        <v>19191</v>
      </c>
      <c r="G544" s="18"/>
      <c r="H544" s="18"/>
      <c r="I544" s="18"/>
      <c r="J544" s="18"/>
      <c r="K544" s="18"/>
      <c r="L544" s="69">
        <f>SUM(F544:K544)</f>
        <v>19191</v>
      </c>
      <c r="M544" s="8"/>
      <c r="N544" s="164"/>
    </row>
    <row r="545" spans="1:14" s="3" customFormat="1" ht="12.2" customHeight="1" thickTop="1" thickBot="1" x14ac:dyDescent="0.2">
      <c r="A545" s="93" t="s">
        <v>71</v>
      </c>
      <c r="B545" s="63">
        <v>21</v>
      </c>
      <c r="C545" s="63">
        <v>20</v>
      </c>
      <c r="D545" s="139" t="s">
        <v>432</v>
      </c>
      <c r="E545" s="63"/>
      <c r="F545" s="140">
        <f>SUM(F542:F544)</f>
        <v>57573</v>
      </c>
      <c r="G545" s="140">
        <f t="shared" ref="G545:L545" si="40">SUM(G542:G544)</f>
        <v>0</v>
      </c>
      <c r="H545" s="140">
        <f t="shared" si="40"/>
        <v>0</v>
      </c>
      <c r="I545" s="140">
        <f t="shared" si="40"/>
        <v>0</v>
      </c>
      <c r="J545" s="140">
        <f t="shared" si="40"/>
        <v>0</v>
      </c>
      <c r="K545" s="140">
        <f t="shared" si="40"/>
        <v>0</v>
      </c>
      <c r="L545" s="140">
        <f t="shared" si="40"/>
        <v>57573</v>
      </c>
      <c r="M545" s="8"/>
      <c r="N545" s="164"/>
    </row>
    <row r="546" spans="1:14" s="3" customFormat="1" ht="12.2" customHeight="1" thickTop="1" x14ac:dyDescent="0.15">
      <c r="A546" s="75" t="s">
        <v>72</v>
      </c>
      <c r="B546" s="41">
        <v>21</v>
      </c>
      <c r="C546" s="41">
        <v>21</v>
      </c>
      <c r="D546" s="115" t="s">
        <v>432</v>
      </c>
      <c r="E546" s="41"/>
      <c r="F546" s="70">
        <f>F525+F530+F535+F540+F545</f>
        <v>1285126</v>
      </c>
      <c r="G546" s="70">
        <f t="shared" ref="G546:L546" si="41">G525+G530+G535+G540+G545</f>
        <v>695985</v>
      </c>
      <c r="H546" s="70">
        <f t="shared" si="41"/>
        <v>1219606</v>
      </c>
      <c r="I546" s="70">
        <f t="shared" si="41"/>
        <v>24110</v>
      </c>
      <c r="J546" s="70">
        <f t="shared" si="41"/>
        <v>1221</v>
      </c>
      <c r="K546" s="70">
        <f t="shared" si="41"/>
        <v>2091</v>
      </c>
      <c r="L546" s="70">
        <f t="shared" si="41"/>
        <v>3228139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820605</v>
      </c>
      <c r="G550" s="69">
        <f>L527</f>
        <v>273237</v>
      </c>
      <c r="H550" s="69">
        <f>L532</f>
        <v>42859</v>
      </c>
      <c r="I550" s="69">
        <f>L537</f>
        <v>1449</v>
      </c>
      <c r="J550" s="69">
        <f>L542</f>
        <v>19191</v>
      </c>
      <c r="K550" s="69">
        <f>SUM(F550:J550)</f>
        <v>1157341</v>
      </c>
      <c r="L550" s="23" t="s">
        <v>288</v>
      </c>
      <c r="M550" s="8"/>
      <c r="N550" s="164"/>
    </row>
    <row r="551" spans="1:14" s="3" customFormat="1" ht="12.2" customHeight="1" x14ac:dyDescent="0.15">
      <c r="A551" s="21" t="s">
        <v>634</v>
      </c>
      <c r="B551" s="22">
        <v>21</v>
      </c>
      <c r="C551" s="22">
        <v>23</v>
      </c>
      <c r="D551" s="2" t="s">
        <v>432</v>
      </c>
      <c r="E551" s="22"/>
      <c r="F551" s="69">
        <f>L523</f>
        <v>661059</v>
      </c>
      <c r="G551" s="69">
        <f>L528</f>
        <v>273237</v>
      </c>
      <c r="H551" s="69">
        <f>L533</f>
        <v>42859</v>
      </c>
      <c r="I551" s="69">
        <f>L538</f>
        <v>1449</v>
      </c>
      <c r="J551" s="69">
        <f>L543</f>
        <v>19191</v>
      </c>
      <c r="K551" s="69">
        <f>SUM(F551:J551)</f>
        <v>997795</v>
      </c>
      <c r="L551" s="23" t="s">
        <v>288</v>
      </c>
      <c r="M551" s="8"/>
      <c r="N551" s="164"/>
    </row>
    <row r="552" spans="1:14" s="3" customFormat="1" ht="12.2" customHeight="1" thickBot="1" x14ac:dyDescent="0.2">
      <c r="A552" s="21" t="s">
        <v>635</v>
      </c>
      <c r="B552" s="22">
        <v>21</v>
      </c>
      <c r="C552" s="22">
        <v>24</v>
      </c>
      <c r="D552" s="2" t="s">
        <v>432</v>
      </c>
      <c r="E552" s="22"/>
      <c r="F552" s="69">
        <f>L524</f>
        <v>736266</v>
      </c>
      <c r="G552" s="69">
        <f>L529</f>
        <v>273237</v>
      </c>
      <c r="H552" s="69">
        <f>L534</f>
        <v>42860</v>
      </c>
      <c r="I552" s="69">
        <f>L539</f>
        <v>1449</v>
      </c>
      <c r="J552" s="69">
        <f>L544</f>
        <v>19191</v>
      </c>
      <c r="K552" s="69">
        <f>SUM(F552:J552)</f>
        <v>1073003</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2217930</v>
      </c>
      <c r="G553" s="70">
        <f t="shared" si="42"/>
        <v>819711</v>
      </c>
      <c r="H553" s="70">
        <f t="shared" si="42"/>
        <v>128578</v>
      </c>
      <c r="I553" s="70">
        <f t="shared" si="42"/>
        <v>4347</v>
      </c>
      <c r="J553" s="70">
        <f t="shared" si="42"/>
        <v>57573</v>
      </c>
      <c r="K553" s="70">
        <f t="shared" si="42"/>
        <v>3228139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v>36012</v>
      </c>
      <c r="I580" s="69">
        <f t="shared" si="47"/>
        <v>36012</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v>962919</v>
      </c>
      <c r="I583" s="69">
        <f t="shared" si="47"/>
        <v>962919</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0</v>
      </c>
      <c r="H589" s="79">
        <f t="shared" si="48"/>
        <v>998931</v>
      </c>
      <c r="I589" s="79">
        <f t="shared" si="48"/>
        <v>998931</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108304+46147+36638</f>
        <v>191089</v>
      </c>
      <c r="I592" s="18">
        <f>108304+46147+36638</f>
        <v>191089</v>
      </c>
      <c r="J592" s="18">
        <f>108309+47540+36638</f>
        <v>192487</v>
      </c>
      <c r="K592" s="80">
        <f t="shared" ref="K592:K598" si="49">SUM(H592:J592)</f>
        <v>574665</v>
      </c>
      <c r="L592" s="23" t="s">
        <v>288</v>
      </c>
      <c r="M592" s="8"/>
      <c r="N592" s="164"/>
    </row>
    <row r="593" spans="1:14" s="3" customFormat="1" ht="12.2" customHeight="1" x14ac:dyDescent="0.15">
      <c r="A593" s="3" t="s">
        <v>638</v>
      </c>
      <c r="B593" s="22">
        <v>23</v>
      </c>
      <c r="C593" s="22">
        <v>2</v>
      </c>
      <c r="D593" s="2" t="s">
        <v>432</v>
      </c>
      <c r="E593" s="22"/>
      <c r="F593" s="78">
        <v>2722</v>
      </c>
      <c r="G593" s="79" t="s">
        <v>97</v>
      </c>
      <c r="H593" s="18">
        <v>19191</v>
      </c>
      <c r="I593" s="18">
        <v>19191</v>
      </c>
      <c r="J593" s="18">
        <v>19191</v>
      </c>
      <c r="K593" s="80">
        <f t="shared" si="49"/>
        <v>57573</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v>7439</v>
      </c>
      <c r="J594" s="18">
        <v>11159</v>
      </c>
      <c r="K594" s="80">
        <f t="shared" si="49"/>
        <v>18598</v>
      </c>
      <c r="L594" s="23" t="s">
        <v>288</v>
      </c>
      <c r="M594" s="8"/>
      <c r="N594" s="164"/>
    </row>
    <row r="595" spans="1:14" s="3" customFormat="1" ht="12.2" customHeight="1" x14ac:dyDescent="0.15">
      <c r="A595" s="21" t="s">
        <v>640</v>
      </c>
      <c r="B595" s="22">
        <v>23</v>
      </c>
      <c r="C595" s="22">
        <v>4</v>
      </c>
      <c r="D595" s="2" t="s">
        <v>432</v>
      </c>
      <c r="E595" s="22"/>
      <c r="F595" s="78">
        <v>2724</v>
      </c>
      <c r="G595" s="79" t="s">
        <v>97</v>
      </c>
      <c r="H595" s="18">
        <v>5542</v>
      </c>
      <c r="I595" s="18">
        <v>5542</v>
      </c>
      <c r="J595" s="18">
        <v>5542</v>
      </c>
      <c r="K595" s="80">
        <f t="shared" si="49"/>
        <v>16626</v>
      </c>
      <c r="L595" s="23" t="s">
        <v>288</v>
      </c>
      <c r="M595" s="8"/>
      <c r="N595" s="164"/>
    </row>
    <row r="596" spans="1:14" s="3" customFormat="1" ht="12.2" customHeight="1" x14ac:dyDescent="0.15">
      <c r="A596" s="103" t="s">
        <v>652</v>
      </c>
      <c r="B596" s="22">
        <v>23</v>
      </c>
      <c r="C596" s="22">
        <v>5</v>
      </c>
      <c r="D596" s="2" t="s">
        <v>432</v>
      </c>
      <c r="E596" s="22"/>
      <c r="F596" s="78">
        <v>2725</v>
      </c>
      <c r="G596" s="79" t="s">
        <v>97</v>
      </c>
      <c r="H596" s="18">
        <v>2697</v>
      </c>
      <c r="I596" s="18">
        <v>682</v>
      </c>
      <c r="J596" s="18">
        <v>1023</v>
      </c>
      <c r="K596" s="80">
        <f t="shared" si="49"/>
        <v>4402</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218519</v>
      </c>
      <c r="I599" s="81">
        <f>SUM(I592:I598)</f>
        <v>223943</v>
      </c>
      <c r="J599" s="81">
        <f>SUM(J592:J598)</f>
        <v>229402</v>
      </c>
      <c r="K599" s="81">
        <f>SUM(K592:K598)</f>
        <v>671864</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92928</v>
      </c>
      <c r="I605" s="18">
        <v>85563</v>
      </c>
      <c r="J605" s="18">
        <v>89051</v>
      </c>
      <c r="K605" s="80">
        <f>SUM(H605:J605)</f>
        <v>267542</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92928</v>
      </c>
      <c r="I606" s="81">
        <f>SUM(I603:I605)</f>
        <v>85563</v>
      </c>
      <c r="J606" s="81">
        <f>SUM(J603:J605)</f>
        <v>89051</v>
      </c>
      <c r="K606" s="81">
        <f>SUM(K603:K605)</f>
        <v>267542</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1206281</v>
      </c>
      <c r="H618" s="80">
        <f>SUM(F52)</f>
        <v>1206281</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20270</v>
      </c>
      <c r="H619" s="80">
        <f>SUM(G52)</f>
        <v>20270</v>
      </c>
      <c r="I619" s="87" t="s">
        <v>872</v>
      </c>
      <c r="J619" s="80">
        <f>G619-H619</f>
        <v>0</v>
      </c>
      <c r="K619" s="80"/>
      <c r="L619" s="80"/>
      <c r="M619" s="8"/>
    </row>
    <row r="620" spans="1:14" s="3" customFormat="1" ht="12.2" customHeight="1" x14ac:dyDescent="0.15">
      <c r="A620" s="74"/>
      <c r="B620" s="22"/>
      <c r="C620" s="22"/>
      <c r="D620" s="22"/>
      <c r="E620" s="22"/>
      <c r="F620" s="87" t="s">
        <v>685</v>
      </c>
      <c r="G620" s="80">
        <f>SUM(H19)</f>
        <v>90619</v>
      </c>
      <c r="H620" s="80">
        <f>SUM(H52)</f>
        <v>90619</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1231350</v>
      </c>
      <c r="H622" s="80">
        <f>SUM(J52)</f>
        <v>1231350</v>
      </c>
      <c r="I622" s="87" t="s">
        <v>875</v>
      </c>
      <c r="J622" s="80">
        <f>G622-H622</f>
        <v>0</v>
      </c>
      <c r="K622" s="80"/>
      <c r="L622" s="80"/>
      <c r="M622" s="8"/>
    </row>
    <row r="623" spans="1:14" s="3" customFormat="1" ht="12.2" customHeight="1" x14ac:dyDescent="0.15">
      <c r="A623" s="74"/>
      <c r="B623" s="22"/>
      <c r="C623" s="22"/>
      <c r="D623" s="22"/>
      <c r="E623" s="22"/>
      <c r="F623" s="87" t="s">
        <v>861</v>
      </c>
      <c r="G623" s="80">
        <f>F51</f>
        <v>1181576</v>
      </c>
      <c r="H623" s="80">
        <f>F477</f>
        <v>1181576</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20195</v>
      </c>
      <c r="H624" s="80">
        <f>G477</f>
        <v>20195</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1231350</v>
      </c>
      <c r="H627" s="80">
        <f>J477</f>
        <v>1231350</v>
      </c>
      <c r="I627" s="87" t="s">
        <v>105</v>
      </c>
      <c r="J627" s="80">
        <f t="shared" si="51"/>
        <v>0</v>
      </c>
      <c r="K627" s="67"/>
      <c r="L627" s="69"/>
      <c r="M627" s="8"/>
    </row>
    <row r="628" spans="1:13" s="3" customFormat="1" ht="12.2" customHeight="1" x14ac:dyDescent="0.15">
      <c r="A628" s="21"/>
      <c r="B628" s="22"/>
      <c r="C628" s="22"/>
      <c r="D628" s="22"/>
      <c r="E628" s="22"/>
      <c r="F628" s="86" t="s">
        <v>658</v>
      </c>
      <c r="G628" s="80">
        <f>F194</f>
        <v>14055210</v>
      </c>
      <c r="H628" s="80">
        <f>SUM(F469)</f>
        <v>14055210</v>
      </c>
      <c r="I628" s="87" t="s">
        <v>106</v>
      </c>
      <c r="J628" s="80">
        <f>G628-H628</f>
        <v>0</v>
      </c>
      <c r="K628" s="67"/>
      <c r="L628" s="69"/>
      <c r="M628" s="8"/>
    </row>
    <row r="629" spans="1:13" s="3" customFormat="1" ht="12.2" customHeight="1" x14ac:dyDescent="0.15">
      <c r="A629" s="21"/>
      <c r="B629" s="22"/>
      <c r="C629" s="22"/>
      <c r="D629" s="22"/>
      <c r="E629" s="22"/>
      <c r="F629" s="86" t="s">
        <v>659</v>
      </c>
      <c r="G629" s="80">
        <f>G194</f>
        <v>174488</v>
      </c>
      <c r="H629" s="80">
        <f>SUM(G469)</f>
        <v>174488</v>
      </c>
      <c r="I629" s="87" t="s">
        <v>107</v>
      </c>
      <c r="J629" s="80">
        <f>G629-H629</f>
        <v>0</v>
      </c>
      <c r="K629" s="67"/>
      <c r="L629" s="69"/>
      <c r="M629" s="8"/>
    </row>
    <row r="630" spans="1:13" s="3" customFormat="1" ht="12.2" customHeight="1" x14ac:dyDescent="0.15">
      <c r="A630" s="21"/>
      <c r="B630" s="22"/>
      <c r="C630" s="22"/>
      <c r="D630" s="22"/>
      <c r="E630" s="22"/>
      <c r="F630" s="86" t="s">
        <v>660</v>
      </c>
      <c r="G630" s="80">
        <f>H194</f>
        <v>307736</v>
      </c>
      <c r="H630" s="80">
        <f>SUM(H469)</f>
        <v>307736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221196</v>
      </c>
      <c r="H632" s="80">
        <f>SUM(J469)</f>
        <v>221196</v>
      </c>
      <c r="I632" s="87" t="s">
        <v>110</v>
      </c>
      <c r="J632" s="80">
        <f>G632-H632</f>
        <v>0</v>
      </c>
      <c r="K632" s="67"/>
      <c r="L632" s="69"/>
      <c r="M632" s="8"/>
    </row>
    <row r="633" spans="1:13" s="3" customFormat="1" ht="12.2" customHeight="1" x14ac:dyDescent="0.15">
      <c r="A633" s="21"/>
      <c r="B633" s="22"/>
      <c r="C633" s="22"/>
      <c r="D633" s="22"/>
      <c r="E633" s="22"/>
      <c r="F633" s="86" t="s">
        <v>394</v>
      </c>
      <c r="G633" s="80">
        <f>SUM(L272)</f>
        <v>14547880</v>
      </c>
      <c r="H633" s="80">
        <f>SUM(F473)</f>
        <v>14547880</v>
      </c>
      <c r="I633" s="87" t="s">
        <v>111</v>
      </c>
      <c r="J633" s="80">
        <f t="shared" si="51"/>
        <v>0</v>
      </c>
      <c r="K633" s="67"/>
      <c r="L633" s="69"/>
      <c r="M633" s="8"/>
    </row>
    <row r="634" spans="1:13" s="3" customFormat="1" ht="12.2" customHeight="1" x14ac:dyDescent="0.15">
      <c r="A634" s="21"/>
      <c r="B634" s="22"/>
      <c r="C634" s="22"/>
      <c r="D634" s="22"/>
      <c r="E634" s="22"/>
      <c r="F634" s="86" t="s">
        <v>395</v>
      </c>
      <c r="G634" s="80">
        <f>SUM(L353)</f>
        <v>307736</v>
      </c>
      <c r="H634" s="80">
        <f>SUM(H473)</f>
        <v>307736</v>
      </c>
      <c r="I634" s="87" t="s">
        <v>112</v>
      </c>
      <c r="J634" s="80">
        <f>G634-H634</f>
        <v>0</v>
      </c>
      <c r="K634" s="67"/>
      <c r="L634" s="69"/>
      <c r="M634" s="8"/>
    </row>
    <row r="635" spans="1:13" s="124" customFormat="1" ht="12.2" customHeight="1" x14ac:dyDescent="0.15">
      <c r="A635" s="21"/>
      <c r="B635" s="22"/>
      <c r="C635" s="22"/>
      <c r="D635" s="22"/>
      <c r="E635" s="22"/>
      <c r="F635" s="99" t="s">
        <v>247</v>
      </c>
      <c r="G635" s="80">
        <f>I363</f>
        <v>86065</v>
      </c>
      <c r="H635" s="80">
        <f>I370</f>
        <v>86065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174795</v>
      </c>
      <c r="H636" s="80">
        <f>SUM(G473)</f>
        <v>174795</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374733</v>
      </c>
      <c r="H637" s="80">
        <f>SUM(I473)</f>
        <v>374733</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221196</v>
      </c>
      <c r="H638" s="108">
        <f>SUM(J469)</f>
        <v>221196</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101000</v>
      </c>
      <c r="H639" s="108">
        <f>SUM(J473)</f>
        <v>101000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1073329</v>
      </c>
      <c r="H640" s="80">
        <f>SUM(F462)</f>
        <v>1073329</v>
      </c>
      <c r="I640" s="87" t="s">
        <v>837</v>
      </c>
      <c r="J640" s="80">
        <f t="shared" si="51"/>
        <v>0</v>
      </c>
      <c r="K640" s="67"/>
      <c r="L640" s="69"/>
      <c r="M640" s="8"/>
    </row>
    <row r="641" spans="1:13" s="3" customFormat="1" ht="12.2" customHeight="1" x14ac:dyDescent="0.15">
      <c r="A641" s="21"/>
      <c r="B641" s="22"/>
      <c r="C641" s="22"/>
      <c r="D641" s="22"/>
      <c r="E641" s="22"/>
      <c r="F641" s="86" t="s">
        <v>119</v>
      </c>
      <c r="G641" s="80">
        <f>SUM(G447)</f>
        <v>158021</v>
      </c>
      <c r="H641" s="80">
        <f>SUM(G462)</f>
        <v>158021</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1231350</v>
      </c>
      <c r="H643" s="80">
        <f>SUM(I462)</f>
        <v>1231350</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45971</v>
      </c>
      <c r="H645" s="80">
        <f>H409</f>
        <v>45971</v>
      </c>
      <c r="I645" s="87" t="s">
        <v>480</v>
      </c>
      <c r="J645" s="80">
        <f t="shared" si="51"/>
        <v>0</v>
      </c>
      <c r="K645" s="67"/>
      <c r="L645" s="69"/>
      <c r="M645" s="8"/>
    </row>
    <row r="646" spans="1:13" s="3" customFormat="1" ht="12.2" customHeight="1" x14ac:dyDescent="0.15">
      <c r="A646" s="21"/>
      <c r="B646" s="22"/>
      <c r="C646" s="22"/>
      <c r="D646" s="22"/>
      <c r="E646" s="22"/>
      <c r="F646" s="86" t="s">
        <v>664</v>
      </c>
      <c r="G646" s="80">
        <f>J184</f>
        <v>175000</v>
      </c>
      <c r="H646" s="80">
        <f>G409</f>
        <v>175000</v>
      </c>
      <c r="I646" s="87" t="s">
        <v>481</v>
      </c>
      <c r="J646" s="80">
        <f t="shared" si="51"/>
        <v>0</v>
      </c>
      <c r="K646" s="67"/>
      <c r="L646" s="69"/>
      <c r="M646" s="8"/>
    </row>
    <row r="647" spans="1:13" s="3" customFormat="1" ht="12.2" customHeight="1" x14ac:dyDescent="0.15">
      <c r="A647" s="21"/>
      <c r="B647" s="22"/>
      <c r="C647" s="22"/>
      <c r="D647" s="22"/>
      <c r="E647" s="22"/>
      <c r="F647" s="86" t="s">
        <v>662</v>
      </c>
      <c r="G647" s="80">
        <f>J194</f>
        <v>221196</v>
      </c>
      <c r="H647" s="80">
        <f>L409</f>
        <v>221196</v>
      </c>
      <c r="I647" s="87" t="s">
        <v>477</v>
      </c>
      <c r="J647" s="80">
        <f t="shared" si="51"/>
        <v>0</v>
      </c>
      <c r="K647" s="67"/>
      <c r="L647" s="69"/>
      <c r="M647" s="8"/>
    </row>
    <row r="648" spans="1:13" s="3" customFormat="1" ht="12.2" customHeight="1" x14ac:dyDescent="0.15">
      <c r="A648" s="21"/>
      <c r="B648" s="22"/>
      <c r="C648" s="22"/>
      <c r="D648" s="22"/>
      <c r="E648" s="22"/>
      <c r="F648" s="86" t="s">
        <v>51</v>
      </c>
      <c r="G648" s="80">
        <f>K599</f>
        <v>671864</v>
      </c>
      <c r="H648" s="80">
        <f>L209+L227+L245</f>
        <v>671864</v>
      </c>
      <c r="I648" s="87" t="s">
        <v>396</v>
      </c>
      <c r="J648" s="80">
        <f t="shared" si="51"/>
        <v>0</v>
      </c>
      <c r="K648" s="67"/>
      <c r="L648" s="69"/>
      <c r="M648" s="8"/>
    </row>
    <row r="649" spans="1:13" s="3" customFormat="1" ht="12.2" customHeight="1" x14ac:dyDescent="0.15">
      <c r="A649" s="21"/>
      <c r="B649" s="22"/>
      <c r="C649" s="22"/>
      <c r="D649" s="22"/>
      <c r="E649" s="22"/>
      <c r="F649" s="86" t="s">
        <v>52</v>
      </c>
      <c r="G649" s="80">
        <f>K606</f>
        <v>267542</v>
      </c>
      <c r="H649" s="80">
        <f>(J258+J339)-(J256+J337)</f>
        <v>267542</v>
      </c>
      <c r="I649" s="87" t="s">
        <v>699</v>
      </c>
      <c r="J649" s="80">
        <f t="shared" si="51"/>
        <v>0</v>
      </c>
      <c r="K649" s="67"/>
      <c r="L649" s="69"/>
      <c r="M649" s="8"/>
    </row>
    <row r="650" spans="1:13" s="3" customFormat="1" ht="12.2" customHeight="1" x14ac:dyDescent="0.15">
      <c r="A650" s="21"/>
      <c r="B650" s="22"/>
      <c r="C650" s="22"/>
      <c r="D650" s="22"/>
      <c r="E650" s="22"/>
      <c r="F650" s="86" t="s">
        <v>387</v>
      </c>
      <c r="G650" s="80">
        <f>L209</f>
        <v>218519</v>
      </c>
      <c r="H650" s="80">
        <f>H599</f>
        <v>218519</v>
      </c>
      <c r="I650" s="87" t="s">
        <v>388</v>
      </c>
      <c r="J650" s="80">
        <f t="shared" si="51"/>
        <v>0</v>
      </c>
      <c r="K650" s="67"/>
      <c r="L650" s="69"/>
      <c r="M650" s="8"/>
    </row>
    <row r="651" spans="1:13" s="3" customFormat="1" ht="12.2" customHeight="1" x14ac:dyDescent="0.15">
      <c r="A651" s="21"/>
      <c r="B651" s="22"/>
      <c r="C651" s="22"/>
      <c r="D651" s="22"/>
      <c r="E651" s="22"/>
      <c r="F651" s="86" t="s">
        <v>392</v>
      </c>
      <c r="G651" s="80">
        <f>L227</f>
        <v>223943</v>
      </c>
      <c r="H651" s="80">
        <f>I599</f>
        <v>223943</v>
      </c>
      <c r="I651" s="87" t="s">
        <v>389</v>
      </c>
      <c r="J651" s="80">
        <f t="shared" si="51"/>
        <v>0</v>
      </c>
      <c r="K651" s="67"/>
      <c r="L651" s="69"/>
      <c r="M651" s="8"/>
    </row>
    <row r="652" spans="1:13" s="3" customFormat="1" ht="12.2" customHeight="1" x14ac:dyDescent="0.15">
      <c r="A652" s="21"/>
      <c r="B652" s="22"/>
      <c r="C652" s="22"/>
      <c r="D652" s="22"/>
      <c r="E652" s="22"/>
      <c r="F652" s="86" t="s">
        <v>393</v>
      </c>
      <c r="G652" s="80">
        <f>L245</f>
        <v>229402</v>
      </c>
      <c r="H652" s="80">
        <f>J599</f>
        <v>229402</v>
      </c>
      <c r="I652" s="87" t="s">
        <v>390</v>
      </c>
      <c r="J652" s="80">
        <f t="shared" si="51"/>
        <v>0</v>
      </c>
      <c r="K652" s="67"/>
      <c r="L652" s="69"/>
      <c r="M652" s="8"/>
    </row>
    <row r="653" spans="1:13" s="3" customFormat="1" ht="12.2" customHeight="1" x14ac:dyDescent="0.15">
      <c r="A653" s="21"/>
      <c r="B653" s="22"/>
      <c r="C653" s="22"/>
      <c r="D653" s="22"/>
      <c r="E653" s="22"/>
      <c r="F653" s="86" t="s">
        <v>665</v>
      </c>
      <c r="G653" s="80">
        <f>G180+G182</f>
        <v>18000</v>
      </c>
      <c r="H653" s="80">
        <f>K264+K346</f>
        <v>18000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175000</v>
      </c>
      <c r="H656" s="80">
        <f>K267+K348</f>
        <v>175000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4901209</v>
      </c>
      <c r="G661" s="13">
        <f>(L230+L310+L360)</f>
        <v>3662145</v>
      </c>
      <c r="H661" s="13">
        <f>(L248+L329+L361)</f>
        <v>5423842</v>
      </c>
      <c r="I661" s="13">
        <f>SUM(F661:H661)</f>
        <v>13987196</v>
      </c>
      <c r="J661" s="13"/>
      <c r="K661" s="13"/>
      <c r="L661" s="13"/>
      <c r="M661" s="9"/>
    </row>
    <row r="662" spans="1:13" s="3" customFormat="1" ht="12.2" customHeight="1" x14ac:dyDescent="0.2">
      <c r="A662" s="1" t="s">
        <v>127</v>
      </c>
      <c r="F662" s="13">
        <f>(L359/IF(SUM(L359:L361)=0,1,SUM(L359:L361))*(SUM(G97:G110)))</f>
        <v>32930.130318372954</v>
      </c>
      <c r="G662" s="13">
        <f>(L360/IF(SUM(L359:L361)=0,1,SUM(L359:L361))*(SUM(G97:G110)))</f>
        <v>32928.434840813527</v>
      </c>
      <c r="H662" s="13">
        <f>(L361/IF(SUM(L359:L361)=0,1,SUM(L359:L361))*(SUM(G97:G110)))</f>
        <v>32928.434840813527</v>
      </c>
      <c r="I662" s="13">
        <f>SUM(F662:H662)</f>
        <v>98787.000000000015</v>
      </c>
      <c r="J662"/>
      <c r="K662" s="13"/>
      <c r="L662" s="13"/>
      <c r="M662" s="8"/>
    </row>
    <row r="663" spans="1:13" s="3" customFormat="1" ht="12.2" customHeight="1" x14ac:dyDescent="0.2">
      <c r="A663" s="1" t="s">
        <v>128</v>
      </c>
      <c r="F663" s="13">
        <f>(L209+L288)-(J209+J288)</f>
        <v>146981</v>
      </c>
      <c r="G663" s="13">
        <f>(L227+L307)-(J227+J307)</f>
        <v>152405</v>
      </c>
      <c r="H663" s="13">
        <f>(L245+L326)-(J245+J326)</f>
        <v>157864</v>
      </c>
      <c r="I663" s="13">
        <f>SUM(F663:H663)</f>
        <v>457250</v>
      </c>
      <c r="J663"/>
      <c r="K663" s="13"/>
      <c r="L663" s="13"/>
      <c r="M663" s="9"/>
    </row>
    <row r="664" spans="1:13" s="3" customFormat="1" ht="12.2" customHeight="1" x14ac:dyDescent="0.15">
      <c r="A664" s="141" t="s">
        <v>129</v>
      </c>
      <c r="B664" s="124"/>
      <c r="C664" s="124"/>
      <c r="D664" s="124"/>
      <c r="E664" s="124"/>
      <c r="F664" s="142">
        <f>SUM(F576:F588)+SUM(H603:H605)+SUM(L612)</f>
        <v>92928</v>
      </c>
      <c r="G664" s="142">
        <f>SUM(G576:G588)+SUM(I603:I605)+L613</f>
        <v>85563</v>
      </c>
      <c r="H664" s="142">
        <f>SUM(H576:H588)+SUM(J603:J605)+L614</f>
        <v>1087982</v>
      </c>
      <c r="I664" s="13">
        <f>SUM(F664:H664)</f>
        <v>1266473</v>
      </c>
      <c r="J664" s="13"/>
      <c r="K664" s="13"/>
      <c r="L664" s="13"/>
      <c r="M664" s="9"/>
    </row>
    <row r="665" spans="1:13" s="3" customFormat="1" ht="12.2" customHeight="1" x14ac:dyDescent="0.15">
      <c r="A665" s="1" t="s">
        <v>130</v>
      </c>
      <c r="F665" s="13">
        <f>F661-SUM(F662:F664)</f>
        <v>4628369.8696816266</v>
      </c>
      <c r="G665" s="13">
        <f>G661-SUM(G662:G664)</f>
        <v>3391248.5651591867</v>
      </c>
      <c r="H665" s="13">
        <f>H661-SUM(H662:H664)</f>
        <v>4145067.5651591867</v>
      </c>
      <c r="I665" s="13">
        <f>I661-SUM(I662:I664)</f>
        <v>12164686</v>
      </c>
      <c r="J665" s="13"/>
      <c r="K665" s="13"/>
      <c r="L665" s="13"/>
      <c r="M665" s="8"/>
    </row>
    <row r="666" spans="1:13" s="3" customFormat="1" ht="12.2" customHeight="1" x14ac:dyDescent="0.2">
      <c r="A666" s="1" t="s">
        <v>131</v>
      </c>
      <c r="F666" s="182">
        <v>179.21</v>
      </c>
      <c r="G666" s="183">
        <v>84.87</v>
      </c>
      <c r="H666" s="183">
        <v>133.19</v>
      </c>
      <c r="I666" s="13">
        <f>SUM(F666:H666)</f>
        <v>397.27000000000004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25826.52</v>
      </c>
      <c r="G668" s="13">
        <f>ROUND(G665/G666,2)</f>
        <v>39958.15</v>
      </c>
      <c r="H668" s="13">
        <f>ROUND(H665/H666,2)</f>
        <v>31121.46</v>
      </c>
      <c r="I668" s="13">
        <f>ROUND(I665/I666,2)</f>
        <v>30620.7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-1.67</v>
      </c>
      <c r="I671" s="13">
        <f>SUM(F671:H671)</f>
        <v>-1.67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25826.52</v>
      </c>
      <c r="G673" s="13">
        <f>ROUND((G665+G670)/(G666+G671),2)</f>
        <v>39958.15</v>
      </c>
      <c r="H673" s="13">
        <f>ROUND((H665+H670)/(H666+H671),2)</f>
        <v>31516.63</v>
      </c>
      <c r="I673" s="13">
        <f>ROUND((I665+I670)/(I666+I671),2)</f>
        <v>30749.96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6" sqref="E16"/>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28914</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18989</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v>9925</v>
      </c>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21063</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9"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Sunapee</v>
      </c>
      <c r="C5" s="321"/>
      <c r="D5" s="321"/>
      <c r="E5" s="321"/>
      <c r="F5" s="321"/>
    </row>
    <row r="8" spans="1:9" ht="18" x14ac:dyDescent="0.25">
      <c r="A8" s="239" t="s">
        <v>1548</v>
      </c>
      <c r="F8" s="246" t="s">
        <v>1566</v>
      </c>
    </row>
    <row r="9" spans="1:9" ht="15" x14ac:dyDescent="0.2">
      <c r="A9" s="237" t="s">
        <v>1549</v>
      </c>
      <c r="B9" s="240">
        <f>'DOE25'!G97</f>
        <v>98787</v>
      </c>
      <c r="F9" s="237" t="s">
        <v>1562</v>
      </c>
    </row>
    <row r="10" spans="1:9" ht="15" x14ac:dyDescent="0.2">
      <c r="A10" s="237" t="s">
        <v>1550</v>
      </c>
      <c r="B10" s="240">
        <f>'DOE25'!G112-'DOE25'!G97</f>
        <v>0</v>
      </c>
      <c r="F10" s="237" t="s">
        <v>1563</v>
      </c>
    </row>
    <row r="11" spans="1:9" ht="15" x14ac:dyDescent="0.2">
      <c r="A11" s="237" t="s">
        <v>1551</v>
      </c>
      <c r="B11" s="240">
        <f>'DOE25'!G140</f>
        <v>136</v>
      </c>
      <c r="F11" s="237" t="s">
        <v>1564</v>
      </c>
    </row>
    <row r="12" spans="1:9" ht="15" x14ac:dyDescent="0.2">
      <c r="A12" s="237" t="s">
        <v>1552</v>
      </c>
      <c r="B12" s="240">
        <f>'DOE25'!G170</f>
        <v>57565</v>
      </c>
      <c r="F12" s="237" t="s">
        <v>1565</v>
      </c>
    </row>
    <row r="13" spans="1:9" ht="15" x14ac:dyDescent="0.2">
      <c r="A13" s="237" t="s">
        <v>1553</v>
      </c>
      <c r="B13" s="240">
        <f>'DOE25'!G193-'DOE25'!G180</f>
        <v>0</v>
      </c>
      <c r="F13" s="237" t="s">
        <v>1575</v>
      </c>
    </row>
    <row r="14" spans="1:9" ht="18" x14ac:dyDescent="0.25">
      <c r="A14" s="239" t="s">
        <v>732</v>
      </c>
      <c r="B14" s="241">
        <f>SUM(B9:B13)</f>
        <v>156488</v>
      </c>
    </row>
    <row r="16" spans="1:9" ht="18" x14ac:dyDescent="0.25">
      <c r="A16" s="239" t="s">
        <v>783</v>
      </c>
      <c r="F16" s="246" t="s">
        <v>1567</v>
      </c>
    </row>
    <row r="17" spans="1:6" ht="15" x14ac:dyDescent="0.2">
      <c r="A17" s="237" t="s">
        <v>1554</v>
      </c>
      <c r="B17" s="240">
        <f>'DOE25'!L363-'DOE25'!L362</f>
        <v>174795</v>
      </c>
      <c r="F17" s="237" t="s">
        <v>1568</v>
      </c>
    </row>
    <row r="18" spans="1:6" ht="15" x14ac:dyDescent="0.2">
      <c r="A18" s="237" t="s">
        <v>1555</v>
      </c>
      <c r="B18" s="250"/>
      <c r="F18" s="246" t="s">
        <v>1592</v>
      </c>
    </row>
    <row r="19" spans="1:6" ht="18" x14ac:dyDescent="0.25">
      <c r="A19" s="239" t="s">
        <v>725</v>
      </c>
      <c r="B19" s="241">
        <f>SUM(B17:B18)</f>
        <v>174795</v>
      </c>
    </row>
    <row r="21" spans="1:6" ht="18.75" thickBot="1" x14ac:dyDescent="0.3">
      <c r="A21" s="239" t="s">
        <v>1556</v>
      </c>
    </row>
    <row r="22" spans="1:6" ht="18.75" thickTop="1" x14ac:dyDescent="0.25">
      <c r="A22" s="239" t="s">
        <v>1557</v>
      </c>
      <c r="B22" s="245">
        <f>B14-B19</f>
        <v>-18307</v>
      </c>
      <c r="F22" s="237" t="s">
        <v>1569</v>
      </c>
    </row>
    <row r="26" spans="1:6" ht="18" x14ac:dyDescent="0.25">
      <c r="A26" s="239" t="s">
        <v>186</v>
      </c>
    </row>
    <row r="27" spans="1:6" ht="15" x14ac:dyDescent="0.2">
      <c r="A27" s="237" t="s">
        <v>1558</v>
      </c>
      <c r="B27" s="240">
        <f>'DOE25'!G180</f>
        <v>18000</v>
      </c>
      <c r="F27" s="237" t="s">
        <v>1570</v>
      </c>
    </row>
    <row r="28" spans="1:6" ht="15" x14ac:dyDescent="0.2">
      <c r="A28" s="237" t="s">
        <v>1560</v>
      </c>
      <c r="B28" s="240">
        <f>'DOE25'!L362</f>
        <v>0</v>
      </c>
      <c r="F28" s="237" t="s">
        <v>1571</v>
      </c>
    </row>
    <row r="31" spans="1:6" ht="15" x14ac:dyDescent="0.2">
      <c r="A31" s="237" t="s">
        <v>1789</v>
      </c>
      <c r="B31" s="240">
        <f>'DOE25'!G466</f>
        <v>20502</v>
      </c>
      <c r="F31" s="237" t="s">
        <v>1572</v>
      </c>
    </row>
    <row r="33" spans="1:6" ht="15" x14ac:dyDescent="0.2">
      <c r="A33" s="237" t="s">
        <v>1790</v>
      </c>
      <c r="B33" s="240">
        <f>'DOE25'!G477</f>
        <v>20195</v>
      </c>
      <c r="F33" s="237" t="s">
        <v>1573</v>
      </c>
    </row>
    <row r="36" spans="1:6" ht="15" x14ac:dyDescent="0.2">
      <c r="A36" s="237" t="s">
        <v>1559</v>
      </c>
      <c r="B36" s="251">
        <v>10647</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6" sqref="B36"/>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Sunapee</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3229294</v>
      </c>
      <c r="C9" s="166">
        <f>'DOE25'!G198+'DOE25'!G216+'DOE25'!G234+'DOE25'!G277+'DOE25'!G296+'DOE25'!G315</f>
        <v>1629376</v>
      </c>
    </row>
    <row r="10" spans="1:3" x14ac:dyDescent="0.2">
      <c r="A10" t="s">
        <v>772</v>
      </c>
      <c r="B10" s="176">
        <v>3194791</v>
      </c>
      <c r="C10" s="176">
        <v>1609823</v>
      </c>
    </row>
    <row r="11" spans="1:3" x14ac:dyDescent="0.2">
      <c r="A11" t="s">
        <v>773</v>
      </c>
      <c r="B11" s="176">
        <v>34503</v>
      </c>
      <c r="C11" s="176">
        <v>19553</v>
      </c>
    </row>
    <row r="12" spans="1:3" x14ac:dyDescent="0.2">
      <c r="A12" t="s">
        <v>774</v>
      </c>
      <c r="B12" s="176"/>
      <c r="C12" s="176"/>
    </row>
    <row r="13" spans="1:3" x14ac:dyDescent="0.2">
      <c r="A13" t="str">
        <f>IF(B9=B13,IF(C9=C13,"Check Total OK","Check Total Error"),"Check Total Error")</f>
        <v>Check Total OK</v>
      </c>
      <c r="B13" s="168">
        <f>SUM(B10:B12)</f>
        <v>3229294</v>
      </c>
      <c r="C13" s="168">
        <f>SUM(C10:C12)</f>
        <v>1629376</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793759</v>
      </c>
      <c r="C18" s="166">
        <f>'DOE25'!G199+'DOE25'!G217+'DOE25'!G235+'DOE25'!G278+'DOE25'!G297+'DOE25'!G316</f>
        <v>421569</v>
      </c>
    </row>
    <row r="19" spans="1:3" x14ac:dyDescent="0.2">
      <c r="A19" t="s">
        <v>772</v>
      </c>
      <c r="B19" s="176">
        <v>324234</v>
      </c>
      <c r="C19" s="176">
        <v>172843</v>
      </c>
    </row>
    <row r="20" spans="1:3" x14ac:dyDescent="0.2">
      <c r="A20" t="s">
        <v>773</v>
      </c>
      <c r="B20" s="176">
        <v>324889</v>
      </c>
      <c r="C20" s="176">
        <v>172843</v>
      </c>
    </row>
    <row r="21" spans="1:3" x14ac:dyDescent="0.2">
      <c r="A21" t="s">
        <v>774</v>
      </c>
      <c r="B21" s="176">
        <v>144636</v>
      </c>
      <c r="C21" s="176">
        <v>75883</v>
      </c>
    </row>
    <row r="22" spans="1:3" x14ac:dyDescent="0.2">
      <c r="A22" t="str">
        <f>IF(B18=B22,IF(C18=C22,"Check Total OK","Check Total Error"),"Check Total Error")</f>
        <v>Check Total OK</v>
      </c>
      <c r="B22" s="168">
        <f>SUM(B19:B21)</f>
        <v>793759</v>
      </c>
      <c r="C22" s="168">
        <f>SUM(C19:C21)</f>
        <v>421569</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163537</v>
      </c>
      <c r="C36" s="172">
        <f>'DOE25'!G201+'DOE25'!G219+'DOE25'!G237+'DOE25'!G280+'DOE25'!G299+'DOE25'!G318</f>
        <v>76891</v>
      </c>
    </row>
    <row r="37" spans="1:3" x14ac:dyDescent="0.2">
      <c r="A37" t="s">
        <v>772</v>
      </c>
      <c r="B37" s="176">
        <v>163537</v>
      </c>
      <c r="C37" s="176">
        <v>76891</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163537</v>
      </c>
      <c r="C40" s="168">
        <f>SUM(C37:C39)</f>
        <v>76891</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Sunapee</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7434066</v>
      </c>
      <c r="D5" s="19">
        <f>SUM('DOE25'!L198:L201)+SUM('DOE25'!L216:L219)+SUM('DOE25'!L234:L237)-F5-G5-H5</f>
        <v>7418354</v>
      </c>
      <c r="E5" s="179"/>
      <c r="F5" s="180"/>
      <c r="G5" s="19">
        <f>SUM('DOE25'!J198:J201)+SUM('DOE25'!J216:J219)+SUM('DOE25'!J234:J237)</f>
        <v>8021</v>
      </c>
      <c r="H5" s="19">
        <f>SUM('DOE25'!K198:K201)+SUM('DOE25'!K216:K219)+SUM('DOE25'!K234:K237)</f>
        <v>7691</v>
      </c>
      <c r="I5" s="191"/>
    </row>
    <row r="6" spans="1:9" x14ac:dyDescent="0.2">
      <c r="A6" s="31">
        <v>2100</v>
      </c>
      <c r="B6" t="s">
        <v>793</v>
      </c>
      <c r="C6" s="205">
        <f t="shared" si="0"/>
        <v>1495225</v>
      </c>
      <c r="D6" s="19">
        <f>'DOE25'!L203+'DOE25'!L221+'DOE25'!L239-F6-G6-H6</f>
        <v>1495225</v>
      </c>
      <c r="E6" s="179"/>
      <c r="F6" s="180"/>
      <c r="G6" s="19">
        <f>'DOE25'!J203+'DOE25'!J221+'DOE25'!J239</f>
        <v>0</v>
      </c>
      <c r="H6" s="19">
        <f>'DOE25'!K203+'DOE25'!K221+'DOE25'!K239</f>
        <v>0</v>
      </c>
      <c r="I6" s="191"/>
    </row>
    <row r="7" spans="1:9" x14ac:dyDescent="0.2">
      <c r="A7" s="31">
        <v>2200</v>
      </c>
      <c r="B7" t="s">
        <v>817</v>
      </c>
      <c r="C7" s="205">
        <f t="shared" si="0"/>
        <v>850195</v>
      </c>
      <c r="D7" s="19">
        <f>'DOE25'!L204+'DOE25'!L222+'DOE25'!L240-F7-G7-H7</f>
        <v>853857</v>
      </c>
      <c r="E7" s="179"/>
      <c r="F7" s="180"/>
      <c r="G7" s="19">
        <f>'DOE25'!J204+'DOE25'!J222+'DOE25'!J240</f>
        <v>-3662</v>
      </c>
      <c r="H7" s="19">
        <f>'DOE25'!K204+'DOE25'!K222+'DOE25'!K240</f>
        <v>0</v>
      </c>
      <c r="I7" s="191"/>
    </row>
    <row r="8" spans="1:9" x14ac:dyDescent="0.2">
      <c r="A8" s="31">
        <v>2300</v>
      </c>
      <c r="B8" t="s">
        <v>794</v>
      </c>
      <c r="C8" s="205">
        <f t="shared" si="0"/>
        <v>640401</v>
      </c>
      <c r="D8" s="179"/>
      <c r="E8" s="19">
        <f>'DOE25'!L205+'DOE25'!L223+'DOE25'!L241-F8-G8-H8-D9-D11</f>
        <v>629958</v>
      </c>
      <c r="F8" s="180"/>
      <c r="G8" s="19">
        <f>'DOE25'!J205+'DOE25'!J223+'DOE25'!J241</f>
        <v>0</v>
      </c>
      <c r="H8" s="19">
        <f>'DOE25'!K205+'DOE25'!K223+'DOE25'!K241</f>
        <v>10443</v>
      </c>
      <c r="I8" s="191"/>
    </row>
    <row r="9" spans="1:9" ht="14.25" x14ac:dyDescent="0.2">
      <c r="A9" s="31">
        <v>2310</v>
      </c>
      <c r="B9" s="71" t="s">
        <v>884</v>
      </c>
      <c r="C9" s="205">
        <f t="shared" si="0"/>
        <v>71264</v>
      </c>
      <c r="D9" s="180">
        <v>71264</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638524</v>
      </c>
      <c r="D12" s="19">
        <f>'DOE25'!L206+'DOE25'!L224+'DOE25'!L242-F12-G12-H12</f>
        <v>631096</v>
      </c>
      <c r="E12" s="179"/>
      <c r="F12" s="180"/>
      <c r="G12" s="19">
        <f>'DOE25'!J206+'DOE25'!J224+'DOE25'!J242</f>
        <v>0</v>
      </c>
      <c r="H12" s="19">
        <f>'DOE25'!K206+'DOE25'!K224+'DOE25'!K242</f>
        <v>7428</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1703126</v>
      </c>
      <c r="D14" s="19">
        <f>'DOE25'!L208+'DOE25'!L226+'DOE25'!L244-F14-G14-H14</f>
        <v>1675179</v>
      </c>
      <c r="E14" s="179"/>
      <c r="F14" s="180"/>
      <c r="G14" s="19">
        <f>'DOE25'!J208+'DOE25'!J226+'DOE25'!J244</f>
        <v>27947</v>
      </c>
      <c r="H14" s="19">
        <f>'DOE25'!K208+'DOE25'!K226+'DOE25'!K244</f>
        <v>0</v>
      </c>
      <c r="I14" s="191"/>
    </row>
    <row r="15" spans="1:9" x14ac:dyDescent="0.2">
      <c r="A15" s="31">
        <v>2700</v>
      </c>
      <c r="B15" t="s">
        <v>796</v>
      </c>
      <c r="C15" s="205">
        <f t="shared" si="0"/>
        <v>671864</v>
      </c>
      <c r="D15" s="19">
        <f>'DOE25'!L209+'DOE25'!L227+'DOE25'!L245-F15-G15-H15</f>
        <v>456173</v>
      </c>
      <c r="E15" s="179"/>
      <c r="F15" s="180"/>
      <c r="G15" s="19">
        <f>'DOE25'!J209+'DOE25'!J227+'DOE25'!J245</f>
        <v>214614</v>
      </c>
      <c r="H15" s="19">
        <f>'DOE25'!K209+'DOE25'!K227+'DOE25'!K245</f>
        <v>1077</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270000</v>
      </c>
      <c r="D22" s="179"/>
      <c r="E22" s="179"/>
      <c r="F22" s="179"/>
      <c r="G22" s="19">
        <f>'DOE25'!L256+'DOE25'!L337</f>
        <v>270000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580215</v>
      </c>
      <c r="D25" s="179"/>
      <c r="E25" s="179"/>
      <c r="F25" s="190"/>
      <c r="G25" s="179"/>
      <c r="H25" s="179"/>
      <c r="I25" s="189">
        <f>'DOE25'!L261+'DOE25'!L262+'DOE25'!L342+'DOE25'!L343</f>
        <v>580215</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88777</v>
      </c>
      <c r="D29" s="211">
        <f>'DOE25'!L359+'DOE25'!L360+'DOE25'!L361-'DOE25'!I368-F29-G29-H29-F39</f>
        <v>85419</v>
      </c>
      <c r="E29" s="179"/>
      <c r="F29" s="179"/>
      <c r="G29" s="19">
        <f>'DOE25'!J359+'DOE25'!J360+'DOE25'!J361</f>
        <v>1389</v>
      </c>
      <c r="H29" s="19">
        <f>'DOE25'!K359+'DOE25'!K360+'DOE25'!K361</f>
        <v>1969</v>
      </c>
      <c r="I29" s="191"/>
    </row>
    <row r="30" spans="1:9" x14ac:dyDescent="0.2">
      <c r="A30" s="31"/>
      <c r="C30" s="206"/>
      <c r="D30" s="19"/>
      <c r="F30" s="200"/>
      <c r="G30" s="19"/>
      <c r="H30" s="19"/>
      <c r="I30" s="191"/>
    </row>
    <row r="31" spans="1:9" x14ac:dyDescent="0.2">
      <c r="A31" s="31" t="s">
        <v>814</v>
      </c>
      <c r="B31" t="s">
        <v>813</v>
      </c>
      <c r="C31" s="205">
        <f>SUM(D31:I31)</f>
        <v>307736</v>
      </c>
      <c r="D31" s="19">
        <f>'DOE25'!L291+'DOE25'!L310+'DOE25'!L329+'DOE25'!L334+'DOE25'!L335+'DOE25'!L336-F31-G31-H31</f>
        <v>283859</v>
      </c>
      <c r="E31" s="179"/>
      <c r="F31" s="180"/>
      <c r="G31" s="19">
        <f>'DOE25'!J291+'DOE25'!J310+'DOE25'!J329+'DOE25'!J334+'DOE25'!J335+'DOE25'!J336</f>
        <v>20622</v>
      </c>
      <c r="H31" s="19">
        <f>'DOE25'!K291+'DOE25'!K310+'DOE25'!K329+'DOE25'!K334+'DOE25'!K335+'DOE25'!K336</f>
        <v>3255</v>
      </c>
      <c r="I31" s="191"/>
    </row>
    <row r="32" spans="1:9" ht="12" thickBot="1" x14ac:dyDescent="0.25">
      <c r="C32" s="206"/>
      <c r="G32" s="187"/>
      <c r="H32" s="187"/>
      <c r="I32" s="193"/>
    </row>
    <row r="33" spans="1:9" ht="12" thickTop="1" x14ac:dyDescent="0.2">
      <c r="B33" t="s">
        <v>806</v>
      </c>
      <c r="D33" s="181">
        <f t="shared" ref="D33:I33" si="1">SUM(D5:D31)</f>
        <v>12970426</v>
      </c>
      <c r="E33" s="181">
        <f t="shared" si="1"/>
        <v>629958</v>
      </c>
      <c r="F33" s="181">
        <f t="shared" si="1"/>
        <v>0</v>
      </c>
      <c r="G33" s="181">
        <f t="shared" si="1"/>
        <v>538931</v>
      </c>
      <c r="H33" s="181">
        <f t="shared" si="1"/>
        <v>31863</v>
      </c>
      <c r="I33" s="181">
        <f t="shared" si="1"/>
        <v>580215</v>
      </c>
    </row>
    <row r="34" spans="1:9" ht="12" thickBot="1" x14ac:dyDescent="0.25"/>
    <row r="35" spans="1:9" ht="12" thickBot="1" x14ac:dyDescent="0.25">
      <c r="B35" s="187" t="s">
        <v>827</v>
      </c>
      <c r="D35" s="188">
        <f>E33</f>
        <v>629958</v>
      </c>
      <c r="E35" s="184"/>
      <c r="F35" s="294" t="s">
        <v>1596</v>
      </c>
      <c r="G35" s="295"/>
      <c r="H35" s="295"/>
      <c r="I35" s="296"/>
    </row>
    <row r="36" spans="1:9" ht="12" thickTop="1" x14ac:dyDescent="0.2">
      <c r="B36" t="s">
        <v>807</v>
      </c>
      <c r="D36" s="19">
        <f>D33</f>
        <v>12970426</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A12" sqref="A12"/>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Sunapee</v>
      </c>
      <c r="B2">
        <f>'DOE25'!B2</f>
        <v>515</v>
      </c>
      <c r="J2" s="223" t="s">
        <v>1799</v>
      </c>
      <c r="K2" s="308">
        <f>SUM('DOE25'!L198:L201)+SUM('DOE25'!L277:L280)</f>
        <v>2564999</v>
      </c>
      <c r="L2" s="308">
        <f>'DOE25'!L203+'DOE25'!L282</f>
        <v>488351</v>
      </c>
      <c r="M2" s="308">
        <f>'DOE25'!L204+'DOE25'!L283</f>
        <v>340592</v>
      </c>
      <c r="N2" s="308">
        <f>'DOE25'!L206+'DOE25'!L285</f>
        <v>190769</v>
      </c>
      <c r="O2" s="316">
        <f>'Salaries-Benefits'!B10+'Salaries-Benefits'!B12+'Salaries-Benefits'!B19+'Salaries-Benefits'!B21+'Salaries-Benefits'!B28+'Salaries-Benefits'!B30+'Salaries-Benefits'!B37+'Salaries-Benefits'!B39</f>
        <v>3827198</v>
      </c>
      <c r="P2" s="316">
        <f>'Salaries-Benefits'!B11+'Salaries-Benefits'!B20+'Salaries-Benefits'!B29+'Salaries-Benefits'!B38</f>
        <v>359392</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4842942</v>
      </c>
      <c r="G4" s="228">
        <f>'DOE25'!L212+'DOE25'!L291</f>
        <v>4842942</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1840</v>
      </c>
      <c r="K5" s="20"/>
      <c r="L5" s="20"/>
      <c r="M5" s="20"/>
      <c r="N5" s="20"/>
      <c r="O5" s="20"/>
      <c r="P5" s="20"/>
      <c r="Q5" s="20"/>
    </row>
    <row r="6" spans="1:22" x14ac:dyDescent="0.2">
      <c r="A6" t="str" cm="1">
        <f t="array" ref="A6">IFERROR(INDEX('School Tables'!$A$4:$G$365,'School Tables'!$J4,3),"")</f>
        <v>Sunapee Central School</v>
      </c>
      <c r="B6" s="229">
        <f>IFERROR(VLOOKUP(A6,'School Tables'!$C$3:$D$365,2,FALSE),"")</f>
        <v>22005</v>
      </c>
      <c r="C6" s="222" t="str">
        <f>IFERROR(INDEX('School Tables'!$B$3:$B$365,MATCH('School Level Expenditures'!B6,'School Tables'!$D$3:$D$365,0)),"")</f>
        <v>Sunapee</v>
      </c>
      <c r="D6" s="219">
        <v>4675380</v>
      </c>
      <c r="E6" s="219">
        <v>167562</v>
      </c>
      <c r="F6" s="231">
        <f t="shared" ref="F6:F20" si="2">D6+E6</f>
        <v>4842942</v>
      </c>
      <c r="G6" s="222"/>
      <c r="H6" s="222"/>
      <c r="J6" t="str">
        <f t="shared" ref="J6:J20" si="3">A6</f>
        <v>Sunapee Central School</v>
      </c>
      <c r="K6" s="20">
        <v>2564999</v>
      </c>
      <c r="L6" s="20">
        <v>488351</v>
      </c>
      <c r="M6" s="307">
        <v>340592</v>
      </c>
      <c r="N6" s="20">
        <v>190769</v>
      </c>
      <c r="O6" s="20">
        <v>1578276</v>
      </c>
      <c r="P6" s="20">
        <v>254535</v>
      </c>
      <c r="Q6" s="20">
        <v>7367</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4675380</v>
      </c>
      <c r="E21" s="261">
        <f>SUM(E5:E20)</f>
        <v>167562</v>
      </c>
      <c r="F21" s="216"/>
      <c r="G21" s="216"/>
      <c r="H21" s="216"/>
      <c r="K21" s="262">
        <f t="shared" ref="K21:Q21" si="4">SUM(K5:K20)</f>
        <v>2564999</v>
      </c>
      <c r="L21" s="262">
        <f t="shared" si="4"/>
        <v>488351</v>
      </c>
      <c r="M21" s="262">
        <f t="shared" si="4"/>
        <v>340592</v>
      </c>
      <c r="N21" s="262">
        <f t="shared" si="4"/>
        <v>190769</v>
      </c>
      <c r="O21" s="262">
        <f t="shared" si="4"/>
        <v>1578276</v>
      </c>
      <c r="P21" s="262">
        <f t="shared" si="4"/>
        <v>254535</v>
      </c>
      <c r="Q21" s="262">
        <f t="shared" si="4"/>
        <v>7367</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1800056</v>
      </c>
      <c r="L23" s="19">
        <f>'DOE25'!L221+'DOE25'!L301</f>
        <v>469359</v>
      </c>
      <c r="M23" s="19">
        <f>'DOE25'!L222+'DOE25'!L302</f>
        <v>264335</v>
      </c>
      <c r="N23" s="19">
        <f>'DOE25'!L224+'DOE25'!L304</f>
        <v>195657</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3603881</v>
      </c>
      <c r="G25" s="228">
        <f>'DOE25'!L230+'DOE25'!L310</f>
        <v>3603881</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xml:space="preserve">Sunapee Middle High School </v>
      </c>
      <c r="B27" s="229">
        <f>IFERROR(VLOOKUP(A27,'School Tables'!$N$4:$O$100,2,FALSE),"")</f>
        <v>26965</v>
      </c>
      <c r="C27" s="222" t="str">
        <f>IFERROR(INDEX('School Tables'!$M$4:$M$100,MATCH('School Level Expenditures'!A27,'School Tables'!$N$4:$N$100,0)),"")</f>
        <v>Sunapee</v>
      </c>
      <c r="D27" s="219">
        <v>3533794</v>
      </c>
      <c r="E27" s="219">
        <v>70087</v>
      </c>
      <c r="F27" s="231">
        <f t="shared" ref="F27:F33" si="6">D27+E27</f>
        <v>3603881</v>
      </c>
      <c r="G27" s="222"/>
      <c r="H27" s="222"/>
      <c r="J27" t="str">
        <f t="shared" ref="J27:J33" si="7">A27</f>
        <v xml:space="preserve">Sunapee Middle High School </v>
      </c>
      <c r="K27" s="20">
        <v>1800056</v>
      </c>
      <c r="L27" s="20">
        <v>469359</v>
      </c>
      <c r="M27" s="307">
        <v>264335</v>
      </c>
      <c r="N27" s="20">
        <v>195657</v>
      </c>
      <c r="O27" s="20">
        <v>916455</v>
      </c>
      <c r="P27" s="20">
        <v>41943</v>
      </c>
      <c r="Q27" s="20">
        <v>6132</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3533794</v>
      </c>
      <c r="E34" s="261">
        <f>SUM(E26:E33)</f>
        <v>70087</v>
      </c>
      <c r="F34" s="216"/>
      <c r="G34" s="216"/>
      <c r="H34" s="216"/>
      <c r="K34" s="262">
        <f t="shared" ref="K34:Q34" si="8">SUM(K26:K33)</f>
        <v>1800056</v>
      </c>
      <c r="L34" s="262">
        <f t="shared" si="8"/>
        <v>469359</v>
      </c>
      <c r="M34" s="262">
        <f t="shared" si="8"/>
        <v>264335</v>
      </c>
      <c r="N34" s="262">
        <f t="shared" si="8"/>
        <v>195657</v>
      </c>
      <c r="O34" s="262">
        <f t="shared" si="8"/>
        <v>916455</v>
      </c>
      <c r="P34" s="262">
        <f t="shared" si="8"/>
        <v>41943</v>
      </c>
      <c r="Q34" s="262">
        <f t="shared" si="8"/>
        <v>6132</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3291878</v>
      </c>
      <c r="L36" s="19">
        <f>'DOE25'!L239+'DOE25'!L320</f>
        <v>539504</v>
      </c>
      <c r="M36" s="19">
        <f>'DOE25'!L240+'DOE25'!L321</f>
        <v>296511</v>
      </c>
      <c r="N36" s="19">
        <f>'DOE25'!L242+'DOE25'!L323</f>
        <v>252098</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5365578</v>
      </c>
      <c r="G38" s="228">
        <f>'DOE25'!L248+'DOE25'!L329</f>
        <v>5365578</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998931</v>
      </c>
      <c r="E39" s="219"/>
      <c r="F39" s="231">
        <f t="shared" ref="F39:F44" si="10">D39+E39</f>
        <v>998931</v>
      </c>
      <c r="G39" s="222"/>
      <c r="H39" s="222"/>
      <c r="J39" s="71" t="s">
        <v>1840</v>
      </c>
      <c r="K39" s="315">
        <v>998931</v>
      </c>
      <c r="L39" s="315"/>
      <c r="M39" s="315"/>
      <c r="N39" s="315"/>
      <c r="O39" s="315"/>
      <c r="P39" s="315"/>
      <c r="Q39" s="315"/>
    </row>
    <row r="40" spans="1:17" x14ac:dyDescent="0.2">
      <c r="A40" t="str" cm="1">
        <f t="array" ref="A40">IFERROR(INDEX('School Tables'!$W$4:$AC$120,'School Tables'!$AF4,3),"")</f>
        <v>Sunapee Sr. High School</v>
      </c>
      <c r="B40" s="229">
        <f>IFERROR(VLOOKUP(A40,'School Tables'!$Y$4:$Z$120,2,FALSE),"")</f>
        <v>22000</v>
      </c>
      <c r="C40" s="222" t="str">
        <f>IFERROR(INDEX('School Tables'!$X$4:$X$120,MATCH('School Level Expenditures'!A40,'School Tables'!$Y$4:$Y$120,0)),"")</f>
        <v>Sunapee</v>
      </c>
      <c r="D40" s="219">
        <v>4296560</v>
      </c>
      <c r="E40" s="219">
        <v>70087</v>
      </c>
      <c r="F40" s="231">
        <f t="shared" si="10"/>
        <v>4366647</v>
      </c>
      <c r="G40" s="222"/>
      <c r="H40" s="222"/>
      <c r="J40" t="str">
        <f>A40</f>
        <v>Sunapee Sr. High School</v>
      </c>
      <c r="K40" s="20">
        <v>2292947</v>
      </c>
      <c r="L40" s="20">
        <v>539504</v>
      </c>
      <c r="M40" s="307">
        <v>296511</v>
      </c>
      <c r="N40" s="20">
        <v>252098</v>
      </c>
      <c r="O40" s="20">
        <v>1332467</v>
      </c>
      <c r="P40" s="20">
        <v>62914</v>
      </c>
      <c r="Q40" s="20">
        <v>6132</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5295491</v>
      </c>
      <c r="E45" s="262">
        <f>SUM(E39:E44)</f>
        <v>70087</v>
      </c>
      <c r="K45" s="262">
        <f t="shared" ref="K45:Q45" si="11">SUM(K39:K44)</f>
        <v>3291878</v>
      </c>
      <c r="L45" s="262">
        <f t="shared" si="11"/>
        <v>539504</v>
      </c>
      <c r="M45" s="262">
        <f t="shared" si="11"/>
        <v>296511</v>
      </c>
      <c r="N45" s="262">
        <f t="shared" si="11"/>
        <v>252098</v>
      </c>
      <c r="O45" s="262">
        <f t="shared" si="11"/>
        <v>1332467</v>
      </c>
      <c r="P45" s="262">
        <f t="shared" si="11"/>
        <v>62914</v>
      </c>
      <c r="Q45" s="262">
        <f t="shared" si="11"/>
        <v>6132</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15"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Sunapee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1136105</v>
      </c>
      <c r="D8" s="73">
        <f>'DOE25'!G9</f>
        <v>0</v>
      </c>
      <c r="E8" s="73">
        <f>'DOE25'!H9</f>
        <v>0</v>
      </c>
      <c r="F8" s="73">
        <f>'DOE25'!I9</f>
        <v>0</v>
      </c>
      <c r="G8" s="73">
        <f>'DOE25'!J9</f>
        <v>0</v>
      </c>
      <c r="H8" s="13">
        <f>SUM(C8:G8)</f>
        <v>1136105</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70176</v>
      </c>
      <c r="D11" s="73">
        <f>'DOE25'!G12</f>
        <v>12461</v>
      </c>
      <c r="E11" s="73">
        <f>'DOE25'!H12</f>
        <v>0</v>
      </c>
      <c r="F11" s="73">
        <f>'DOE25'!I12</f>
        <v>0</v>
      </c>
      <c r="G11" s="73">
        <f>'DOE25'!J12</f>
        <v>0</v>
      </c>
      <c r="H11" s="13">
        <f t="shared" si="0"/>
        <v>82637</v>
      </c>
      <c r="I11" s="90"/>
    </row>
    <row r="12" spans="1:9" x14ac:dyDescent="0.2">
      <c r="A12" s="1" t="s">
        <v>143</v>
      </c>
      <c r="B12" s="6">
        <v>140</v>
      </c>
      <c r="C12" s="73">
        <f>'DOE25'!F13</f>
        <v>0</v>
      </c>
      <c r="D12" s="73">
        <f>'DOE25'!G13</f>
        <v>7809</v>
      </c>
      <c r="E12" s="73">
        <f>'DOE25'!H13</f>
        <v>90619</v>
      </c>
      <c r="F12" s="73">
        <f>'DOE25'!I13</f>
        <v>0</v>
      </c>
      <c r="G12" s="73">
        <f>'DOE25'!J13</f>
        <v>1231350</v>
      </c>
      <c r="H12" s="13">
        <f t="shared" si="0"/>
        <v>1329778</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1206281</v>
      </c>
      <c r="D18" s="38">
        <f>SUM(D8:D17)</f>
        <v>20270</v>
      </c>
      <c r="E18" s="38">
        <f>SUM(E8:E17)</f>
        <v>90619</v>
      </c>
      <c r="F18" s="38">
        <f>SUM(F8:F17)</f>
        <v>0</v>
      </c>
      <c r="G18" s="38">
        <f>SUM(G8:G17)</f>
        <v>1231350</v>
      </c>
      <c r="H18" s="38">
        <f t="shared" si="0"/>
        <v>2548520</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82637</v>
      </c>
      <c r="F21" s="73">
        <f>'DOE25'!I22</f>
        <v>0</v>
      </c>
      <c r="G21" s="73">
        <f>'DOE25'!J22</f>
        <v>0</v>
      </c>
      <c r="H21" s="13">
        <f t="shared" ref="H21:H31" si="1">SUM(C21:G21)</f>
        <v>82637</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12795</v>
      </c>
      <c r="D23" s="73">
        <f>'DOE25'!G24</f>
        <v>75</v>
      </c>
      <c r="E23" s="73">
        <f>'DOE25'!H24</f>
        <v>6332</v>
      </c>
      <c r="F23" s="73">
        <f>'DOE25'!I24</f>
        <v>0</v>
      </c>
      <c r="G23" s="73">
        <f>'DOE25'!J24</f>
        <v>0</v>
      </c>
      <c r="H23" s="13">
        <f t="shared" si="1"/>
        <v>19202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1650</v>
      </c>
      <c r="F29" s="73">
        <f>'DOE25'!I30</f>
        <v>0</v>
      </c>
      <c r="G29" s="23" t="s">
        <v>288</v>
      </c>
      <c r="H29" s="13">
        <f t="shared" si="1"/>
        <v>1650</v>
      </c>
      <c r="I29" s="90"/>
    </row>
    <row r="30" spans="1:9" ht="12" thickBot="1" x14ac:dyDescent="0.25">
      <c r="A30" s="1" t="s">
        <v>159</v>
      </c>
      <c r="B30" s="56">
        <v>490</v>
      </c>
      <c r="C30" s="73">
        <f>'DOE25'!F31</f>
        <v>11910</v>
      </c>
      <c r="D30" s="73">
        <f>'DOE25'!G31</f>
        <v>0</v>
      </c>
      <c r="E30" s="73">
        <f>'DOE25'!H31</f>
        <v>0</v>
      </c>
      <c r="F30" s="73">
        <f>'DOE25'!I31</f>
        <v>0</v>
      </c>
      <c r="G30" s="73">
        <f>'DOE25'!J31</f>
        <v>0</v>
      </c>
      <c r="H30" s="13">
        <f t="shared" si="1"/>
        <v>11910</v>
      </c>
      <c r="I30" s="90"/>
    </row>
    <row r="31" spans="1:9" ht="12" thickTop="1" x14ac:dyDescent="0.2">
      <c r="A31" s="35" t="s">
        <v>160</v>
      </c>
      <c r="B31" s="2"/>
      <c r="C31" s="38">
        <f>SUM(C21:C30)</f>
        <v>24705</v>
      </c>
      <c r="D31" s="38">
        <f>SUM(D21:D30)</f>
        <v>75</v>
      </c>
      <c r="E31" s="38">
        <f>SUM(E21:E30)</f>
        <v>90619</v>
      </c>
      <c r="F31" s="38">
        <f>SUM(F21:F30)</f>
        <v>0</v>
      </c>
      <c r="G31" s="38">
        <f>SUM(G21:G30)</f>
        <v>0</v>
      </c>
      <c r="H31" s="38">
        <f t="shared" si="1"/>
        <v>115399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20195</v>
      </c>
      <c r="E39" s="23" t="s">
        <v>288</v>
      </c>
      <c r="F39" s="23" t="s">
        <v>288</v>
      </c>
      <c r="G39" s="23" t="s">
        <v>288</v>
      </c>
      <c r="H39" s="13">
        <f t="shared" si="2"/>
        <v>20195</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125000</v>
      </c>
      <c r="D43" s="73">
        <f>'DOE25'!G44</f>
        <v>0</v>
      </c>
      <c r="E43" s="73">
        <f>'DOE25'!H44</f>
        <v>0</v>
      </c>
      <c r="F43" s="73">
        <f>'DOE25'!I44</f>
        <v>0</v>
      </c>
      <c r="G43" s="23" t="s">
        <v>288</v>
      </c>
      <c r="H43" s="13">
        <f t="shared" si="2"/>
        <v>125000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500000</v>
      </c>
      <c r="D45" s="23" t="s">
        <v>288</v>
      </c>
      <c r="E45" s="23" t="s">
        <v>288</v>
      </c>
      <c r="F45" s="23" t="s">
        <v>288</v>
      </c>
      <c r="G45" s="23" t="s">
        <v>288</v>
      </c>
      <c r="H45" s="13">
        <f t="shared" si="2"/>
        <v>500000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1231350</v>
      </c>
      <c r="H47" s="13">
        <f t="shared" si="2"/>
        <v>1231350</v>
      </c>
      <c r="I47" s="90"/>
    </row>
    <row r="48" spans="1:9" x14ac:dyDescent="0.2">
      <c r="A48" s="1" t="s">
        <v>878</v>
      </c>
      <c r="B48" s="6">
        <v>753</v>
      </c>
      <c r="C48" s="73">
        <f>'DOE25'!F49</f>
        <v>35427</v>
      </c>
      <c r="D48" s="73">
        <f>'DOE25'!G49</f>
        <v>0</v>
      </c>
      <c r="E48" s="73">
        <f>'DOE25'!H49</f>
        <v>0</v>
      </c>
      <c r="F48" s="73">
        <f>'DOE25'!I49</f>
        <v>0</v>
      </c>
      <c r="G48" s="73">
        <f>'DOE25'!J49</f>
        <v>0</v>
      </c>
      <c r="H48" s="13">
        <f t="shared" si="2"/>
        <v>35427</v>
      </c>
      <c r="I48" s="90"/>
    </row>
    <row r="49" spans="1:9" ht="12" thickBot="1" x14ac:dyDescent="0.25">
      <c r="A49" s="28" t="s">
        <v>879</v>
      </c>
      <c r="B49" s="56">
        <v>770</v>
      </c>
      <c r="C49" s="73">
        <f>'DOE25'!F50</f>
        <v>521149</v>
      </c>
      <c r="D49" s="23" t="s">
        <v>288</v>
      </c>
      <c r="E49" s="23" t="s">
        <v>288</v>
      </c>
      <c r="F49" s="23" t="s">
        <v>288</v>
      </c>
      <c r="G49" s="23" t="s">
        <v>288</v>
      </c>
      <c r="H49" s="13">
        <f t="shared" si="2"/>
        <v>521149</v>
      </c>
      <c r="I49" s="90"/>
    </row>
    <row r="50" spans="1:9" ht="12.75" thickTop="1" thickBot="1" x14ac:dyDescent="0.25">
      <c r="A50" s="35" t="s">
        <v>880</v>
      </c>
      <c r="B50" s="44"/>
      <c r="C50" s="38">
        <f>SUM(C34:C49)</f>
        <v>1181576</v>
      </c>
      <c r="D50" s="38">
        <f>SUM(D34:D49)</f>
        <v>20195</v>
      </c>
      <c r="E50" s="38">
        <f>SUM(E34:E49)</f>
        <v>0</v>
      </c>
      <c r="F50" s="38">
        <f>SUM(F34:F49)</f>
        <v>0</v>
      </c>
      <c r="G50" s="38">
        <f>SUM(G34:G49)</f>
        <v>1231350</v>
      </c>
      <c r="H50" s="38">
        <f t="shared" si="2"/>
        <v>2433121</v>
      </c>
      <c r="I50" s="90"/>
    </row>
    <row r="51" spans="1:9" ht="12" thickTop="1" x14ac:dyDescent="0.2">
      <c r="A51" s="35" t="s">
        <v>881</v>
      </c>
      <c r="B51" s="2"/>
      <c r="C51" s="38">
        <f>C50+C31</f>
        <v>1206281</v>
      </c>
      <c r="D51" s="38">
        <f>D50+D31</f>
        <v>20270</v>
      </c>
      <c r="E51" s="38">
        <f>E50+E31</f>
        <v>90619</v>
      </c>
      <c r="F51" s="38">
        <f>F50+F31</f>
        <v>0</v>
      </c>
      <c r="G51" s="38">
        <f>G50+G31</f>
        <v>1231350</v>
      </c>
      <c r="H51" s="38">
        <f t="shared" si="2"/>
        <v>2548520</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10094815</v>
      </c>
      <c r="D56" s="73">
        <f>'DOE25'!G60</f>
        <v>0</v>
      </c>
      <c r="E56" s="73">
        <f>'DOE25'!H60</f>
        <v>0</v>
      </c>
      <c r="F56" s="73">
        <f>'DOE25'!I60</f>
        <v>0</v>
      </c>
      <c r="G56" s="73">
        <f>'DOE25'!J60</f>
        <v>0</v>
      </c>
      <c r="H56" s="13">
        <f t="shared" ref="H56:H63" si="3">SUM(C56:G56)</f>
        <v>10094815</v>
      </c>
      <c r="I56"/>
    </row>
    <row r="57" spans="1:9" x14ac:dyDescent="0.2">
      <c r="A57" s="1" t="s">
        <v>164</v>
      </c>
      <c r="B57" s="6" t="s">
        <v>165</v>
      </c>
      <c r="C57" s="73">
        <f>'DOE25'!F79</f>
        <v>1036120</v>
      </c>
      <c r="D57" s="23" t="s">
        <v>288</v>
      </c>
      <c r="E57" s="73">
        <f>'DOE25'!H79</f>
        <v>0</v>
      </c>
      <c r="F57" s="23" t="s">
        <v>288</v>
      </c>
      <c r="G57" s="23" t="s">
        <v>288</v>
      </c>
      <c r="H57" s="13">
        <f t="shared" si="3"/>
        <v>1036120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3187</v>
      </c>
      <c r="D59" s="73">
        <f>'DOE25'!G96</f>
        <v>0</v>
      </c>
      <c r="E59" s="73">
        <f>'DOE25'!H96</f>
        <v>0</v>
      </c>
      <c r="F59" s="73">
        <f>'DOE25'!I96</f>
        <v>0</v>
      </c>
      <c r="G59" s="73">
        <f>'DOE25'!J96</f>
        <v>45971</v>
      </c>
      <c r="H59" s="13">
        <f t="shared" si="3"/>
        <v>49158</v>
      </c>
      <c r="I59"/>
    </row>
    <row r="60" spans="1:9" x14ac:dyDescent="0.2">
      <c r="A60" s="1" t="s">
        <v>170</v>
      </c>
      <c r="B60" s="22" t="s">
        <v>171</v>
      </c>
      <c r="C60" s="23" t="s">
        <v>288</v>
      </c>
      <c r="D60" s="73">
        <f>'DOE25'!G97</f>
        <v>98787</v>
      </c>
      <c r="E60" s="23" t="s">
        <v>288</v>
      </c>
      <c r="F60" s="23" t="s">
        <v>288</v>
      </c>
      <c r="G60" s="23" t="s">
        <v>288</v>
      </c>
      <c r="H60" s="13">
        <f t="shared" si="3"/>
        <v>98787</v>
      </c>
      <c r="I60"/>
    </row>
    <row r="61" spans="1:9" ht="12" thickBot="1" x14ac:dyDescent="0.25">
      <c r="A61" s="1" t="s">
        <v>172</v>
      </c>
      <c r="B61" s="22" t="s">
        <v>173</v>
      </c>
      <c r="C61" s="73">
        <f>SUM('DOE25'!F98:F110)</f>
        <v>5883</v>
      </c>
      <c r="D61" s="73">
        <f>SUM('DOE25'!G98:G110)</f>
        <v>0</v>
      </c>
      <c r="E61" s="73">
        <f>SUM('DOE25'!H98:H110)</f>
        <v>0</v>
      </c>
      <c r="F61" s="73">
        <f>SUM('DOE25'!I98:I110)</f>
        <v>0</v>
      </c>
      <c r="G61" s="73">
        <f>SUM('DOE25'!J98:J110)</f>
        <v>225</v>
      </c>
      <c r="H61" s="13">
        <f t="shared" si="3"/>
        <v>6108</v>
      </c>
      <c r="I61"/>
    </row>
    <row r="62" spans="1:9" ht="12.75" thickTop="1" thickBot="1" x14ac:dyDescent="0.25">
      <c r="A62" s="28" t="s">
        <v>174</v>
      </c>
      <c r="B62" s="6"/>
      <c r="C62" s="93">
        <f>SUM(C57:C61)</f>
        <v>1045190</v>
      </c>
      <c r="D62" s="93">
        <f>SUM(D57:D61)</f>
        <v>98787</v>
      </c>
      <c r="E62" s="93">
        <f>SUM(E57:E61)</f>
        <v>0</v>
      </c>
      <c r="F62" s="93">
        <f>SUM(F57:F61)</f>
        <v>0</v>
      </c>
      <c r="G62" s="93">
        <f>SUM(G57:G61)</f>
        <v>46196</v>
      </c>
      <c r="H62" s="13">
        <f t="shared" si="3"/>
        <v>1190173</v>
      </c>
      <c r="I62"/>
    </row>
    <row r="63" spans="1:9" ht="12" thickTop="1" x14ac:dyDescent="0.2">
      <c r="A63" s="28" t="s">
        <v>175</v>
      </c>
      <c r="B63" s="6"/>
      <c r="C63" s="21">
        <f>C56+C62</f>
        <v>11140005</v>
      </c>
      <c r="D63" s="21">
        <f>D56+D62</f>
        <v>98787</v>
      </c>
      <c r="E63" s="21">
        <f>E56+E62</f>
        <v>0</v>
      </c>
      <c r="F63" s="21">
        <f>F56+F62</f>
        <v>0</v>
      </c>
      <c r="G63" s="21">
        <f>G56+G62</f>
        <v>46196</v>
      </c>
      <c r="H63" s="13">
        <f t="shared" si="3"/>
        <v>11284988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0</v>
      </c>
      <c r="D66" s="23" t="s">
        <v>288</v>
      </c>
      <c r="E66" s="23" t="s">
        <v>288</v>
      </c>
      <c r="F66" s="23" t="s">
        <v>288</v>
      </c>
      <c r="G66" s="23" t="s">
        <v>288</v>
      </c>
      <c r="H66" s="13">
        <f t="shared" ref="H66:H81" si="4">SUM(C66:G66)</f>
        <v>0</v>
      </c>
      <c r="I66"/>
    </row>
    <row r="67" spans="1:9" x14ac:dyDescent="0.2">
      <c r="A67" s="1" t="s">
        <v>767</v>
      </c>
      <c r="B67" s="6">
        <v>3112</v>
      </c>
      <c r="C67" s="73">
        <f>'DOE25'!F118</f>
        <v>2678474</v>
      </c>
      <c r="D67" s="23"/>
      <c r="E67" s="23"/>
      <c r="F67" s="23"/>
      <c r="G67" s="23"/>
      <c r="H67" s="13">
        <f t="shared" si="4"/>
        <v>2678474</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2037</v>
      </c>
      <c r="D69" s="73">
        <f>'DOE25'!G120</f>
        <v>0</v>
      </c>
      <c r="E69" s="73">
        <f>'DOE25'!H120</f>
        <v>0</v>
      </c>
      <c r="F69" s="73">
        <f>'DOE25'!I120</f>
        <v>0</v>
      </c>
      <c r="G69" s="73">
        <f>'DOE25'!J120</f>
        <v>0</v>
      </c>
      <c r="H69" s="13">
        <f t="shared" si="4"/>
        <v>2037</v>
      </c>
      <c r="I69"/>
    </row>
    <row r="70" spans="1:9" ht="12" thickTop="1" x14ac:dyDescent="0.2">
      <c r="A70" s="28" t="s">
        <v>252</v>
      </c>
      <c r="B70" s="2"/>
      <c r="C70" s="97">
        <f>SUM(C66:C69)</f>
        <v>2680511</v>
      </c>
      <c r="D70" s="97">
        <f>D69</f>
        <v>0</v>
      </c>
      <c r="E70" s="97">
        <f>E69</f>
        <v>0</v>
      </c>
      <c r="F70" s="97">
        <f>F69</f>
        <v>0</v>
      </c>
      <c r="G70" s="97">
        <f>G69</f>
        <v>0</v>
      </c>
      <c r="H70" s="13">
        <f t="shared" si="4"/>
        <v>2680511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232315</v>
      </c>
      <c r="D75" s="23" t="s">
        <v>288</v>
      </c>
      <c r="E75" s="23" t="s">
        <v>288</v>
      </c>
      <c r="F75" s="23" t="s">
        <v>288</v>
      </c>
      <c r="G75" s="23" t="s">
        <v>288</v>
      </c>
      <c r="H75" s="13">
        <f t="shared" si="4"/>
        <v>232315</v>
      </c>
      <c r="I75"/>
    </row>
    <row r="76" spans="1:9" x14ac:dyDescent="0.2">
      <c r="A76" s="1" t="s">
        <v>257</v>
      </c>
      <c r="B76" s="6" t="s">
        <v>179</v>
      </c>
      <c r="C76" s="73">
        <f>SUM('DOE25'!F127:F130)</f>
        <v>2374</v>
      </c>
      <c r="D76" s="23" t="s">
        <v>288</v>
      </c>
      <c r="E76" s="73">
        <f>SUM('DOE25'!H127:H130)</f>
        <v>0</v>
      </c>
      <c r="F76" s="73">
        <f>SUM('DOE25'!I127:I130)</f>
        <v>0</v>
      </c>
      <c r="G76" s="23" t="s">
        <v>288</v>
      </c>
      <c r="H76" s="13">
        <f t="shared" si="4"/>
        <v>2374</v>
      </c>
      <c r="I76"/>
    </row>
    <row r="77" spans="1:9" ht="12" thickBot="1" x14ac:dyDescent="0.25">
      <c r="A77" s="1" t="s">
        <v>258</v>
      </c>
      <c r="B77" s="6" t="s">
        <v>180</v>
      </c>
      <c r="C77" s="73">
        <f>SUM('DOE25'!F131:F135)</f>
        <v>0</v>
      </c>
      <c r="D77" s="73">
        <f>SUM('DOE25'!G131:G135)</f>
        <v>136</v>
      </c>
      <c r="E77" s="73">
        <f>SUM('DOE25'!H131:H135)</f>
        <v>0</v>
      </c>
      <c r="F77" s="73">
        <f>SUM('DOE25'!I131:I135)</f>
        <v>0</v>
      </c>
      <c r="G77" s="73">
        <f>SUM('DOE25'!J131:J135)</f>
        <v>0</v>
      </c>
      <c r="H77" s="13">
        <f t="shared" si="4"/>
        <v>136</v>
      </c>
      <c r="I77"/>
    </row>
    <row r="78" spans="1:9" ht="12.75" thickTop="1" thickBot="1" x14ac:dyDescent="0.25">
      <c r="A78" s="28" t="s">
        <v>259</v>
      </c>
      <c r="B78" s="6"/>
      <c r="C78" s="93">
        <f>SUM(C72:C77)</f>
        <v>234689</v>
      </c>
      <c r="D78" s="93">
        <f>SUM(D72:D77)</f>
        <v>136</v>
      </c>
      <c r="E78" s="93">
        <f>SUM(E72:E77)</f>
        <v>0</v>
      </c>
      <c r="F78" s="93">
        <f>SUM(F72:F77)</f>
        <v>0</v>
      </c>
      <c r="G78" s="93">
        <f>SUM(G72:G77)</f>
        <v>0</v>
      </c>
      <c r="H78" s="13">
        <f t="shared" si="4"/>
        <v>234825</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2915200</v>
      </c>
      <c r="D81" s="93">
        <f>SUM(D79:D80)+D78+D70</f>
        <v>136</v>
      </c>
      <c r="E81" s="93">
        <f>SUM(E79:E80)+E78+E70</f>
        <v>0</v>
      </c>
      <c r="F81" s="93">
        <f>SUM(F79:F80)+F78+F70</f>
        <v>0</v>
      </c>
      <c r="G81" s="93">
        <f>SUM(G79:G80)+G78+G70</f>
        <v>0</v>
      </c>
      <c r="H81" s="93">
        <f t="shared" si="4"/>
        <v>2915336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21063</v>
      </c>
      <c r="F87" s="73">
        <f>SUM('DOE25'!I149:I152)</f>
        <v>0</v>
      </c>
      <c r="G87" s="23" t="s">
        <v>288</v>
      </c>
      <c r="H87" s="13">
        <f t="shared" si="5"/>
        <v>21063</v>
      </c>
    </row>
    <row r="88" spans="1:9" x14ac:dyDescent="0.2">
      <c r="A88" s="216" t="s">
        <v>744</v>
      </c>
      <c r="B88" s="230" t="s">
        <v>184</v>
      </c>
      <c r="C88" s="252">
        <f>SUM('DOE25'!F153:F162)</f>
        <v>5</v>
      </c>
      <c r="D88" s="252">
        <f>SUM('DOE25'!G153:G162)</f>
        <v>57565</v>
      </c>
      <c r="E88" s="252">
        <f>SUM('DOE25'!H153:H162)</f>
        <v>286673</v>
      </c>
      <c r="F88" s="252">
        <f>SUM('DOE25'!I153:I162)</f>
        <v>0</v>
      </c>
      <c r="G88" s="23" t="s">
        <v>288</v>
      </c>
      <c r="H88" s="13">
        <f t="shared" si="5"/>
        <v>344243</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5</v>
      </c>
      <c r="D91" s="94">
        <f>SUM(D85:D90)</f>
        <v>57565</v>
      </c>
      <c r="E91" s="94">
        <f>SUM(E85:E90)</f>
        <v>307736</v>
      </c>
      <c r="F91" s="94">
        <f>SUM(F85:F90)</f>
        <v>0</v>
      </c>
      <c r="G91" s="23" t="s">
        <v>288</v>
      </c>
      <c r="H91" s="13">
        <f t="shared" si="5"/>
        <v>365306</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18000</v>
      </c>
      <c r="E96" s="73">
        <f>'DOE25'!H180</f>
        <v>0</v>
      </c>
      <c r="F96" s="73">
        <f>'DOE25'!I180</f>
        <v>0</v>
      </c>
      <c r="G96" s="73">
        <f>'DOE25'!J180</f>
        <v>175000</v>
      </c>
      <c r="H96" s="13">
        <f t="shared" si="5"/>
        <v>193000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18000</v>
      </c>
      <c r="E103" s="68">
        <f>SUM(E93:E102)</f>
        <v>0</v>
      </c>
      <c r="F103" s="68">
        <f>SUM(F93:F102)</f>
        <v>0</v>
      </c>
      <c r="G103" s="68">
        <f>SUM(G93:G102)</f>
        <v>175000</v>
      </c>
      <c r="H103" s="68">
        <f t="shared" si="5"/>
        <v>193000</v>
      </c>
    </row>
    <row r="104" spans="1:8" ht="12.75" thickTop="1" thickBot="1" x14ac:dyDescent="0.25">
      <c r="A104" s="32" t="s">
        <v>758</v>
      </c>
      <c r="C104" s="68">
        <f>C63+C81+C91+C103</f>
        <v>14055210</v>
      </c>
      <c r="D104" s="68">
        <f>D63+D81+D91+D103</f>
        <v>174488</v>
      </c>
      <c r="E104" s="68">
        <f>E63+E81+E91+E103</f>
        <v>307736</v>
      </c>
      <c r="F104" s="68">
        <f>F63+F81+F91+F103</f>
        <v>0</v>
      </c>
      <c r="G104" s="68">
        <f>G63+G81+G103</f>
        <v>221196</v>
      </c>
      <c r="H104" s="68">
        <f t="shared" si="5"/>
        <v>14758630</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4802587</v>
      </c>
      <c r="D109" s="23" t="s">
        <v>288</v>
      </c>
      <c r="E109" s="73">
        <f>('DOE25'!L277)+('DOE25'!L296)+('DOE25'!L315)</f>
        <v>161388</v>
      </c>
      <c r="F109" s="23" t="s">
        <v>288</v>
      </c>
      <c r="G109" s="23" t="s">
        <v>288</v>
      </c>
      <c r="H109" s="13">
        <f t="shared" ref="H109:H115" si="6">SUM(C109:G109)</f>
        <v>4963975</v>
      </c>
    </row>
    <row r="110" spans="1:8" x14ac:dyDescent="0.2">
      <c r="A110" t="s">
        <v>198</v>
      </c>
      <c r="B110" s="31" t="s">
        <v>199</v>
      </c>
      <c r="C110" s="73">
        <f>('DOE25'!L199)+('DOE25'!L217)+('DOE25'!L235)</f>
        <v>2298143</v>
      </c>
      <c r="D110" s="23" t="s">
        <v>288</v>
      </c>
      <c r="E110" s="73">
        <f>('DOE25'!L278)+('DOE25'!L297)+('DOE25'!L316)</f>
        <v>48367</v>
      </c>
      <c r="F110" s="23" t="s">
        <v>288</v>
      </c>
      <c r="G110" s="23" t="s">
        <v>288</v>
      </c>
      <c r="H110" s="13">
        <f t="shared" si="6"/>
        <v>2346510</v>
      </c>
    </row>
    <row r="111" spans="1:8" x14ac:dyDescent="0.2">
      <c r="A111" t="s">
        <v>200</v>
      </c>
      <c r="B111" s="31" t="s">
        <v>165</v>
      </c>
      <c r="C111" s="73">
        <f>('DOE25'!L200)+('DOE25'!L218)+('DOE25'!L236)</f>
        <v>21507</v>
      </c>
      <c r="D111" s="23" t="s">
        <v>288</v>
      </c>
      <c r="E111" s="73">
        <f>('DOE25'!L279)+('DOE25'!L298)+('DOE25'!L317)</f>
        <v>0</v>
      </c>
      <c r="F111" s="23" t="s">
        <v>288</v>
      </c>
      <c r="G111" s="23" t="s">
        <v>288</v>
      </c>
      <c r="H111" s="13">
        <f t="shared" si="6"/>
        <v>21507</v>
      </c>
    </row>
    <row r="112" spans="1:8" x14ac:dyDescent="0.2">
      <c r="A112" t="s">
        <v>201</v>
      </c>
      <c r="B112" s="31" t="s">
        <v>167</v>
      </c>
      <c r="C112" s="73">
        <f>('DOE25'!L201)+('DOE25'!L219)+('DOE25'!L237)</f>
        <v>311829</v>
      </c>
      <c r="D112" s="23" t="s">
        <v>288</v>
      </c>
      <c r="E112" s="73">
        <f>+('DOE25'!L280)+('DOE25'!L299)+('DOE25'!L318)</f>
        <v>13112</v>
      </c>
      <c r="F112" s="23" t="s">
        <v>288</v>
      </c>
      <c r="G112" s="23" t="s">
        <v>288</v>
      </c>
      <c r="H112" s="13">
        <f t="shared" si="6"/>
        <v>324941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7434066</v>
      </c>
      <c r="D115" s="68">
        <f>SUM(D109:D114)</f>
        <v>0</v>
      </c>
      <c r="E115" s="68">
        <f>SUM(E109:E114)</f>
        <v>222867</v>
      </c>
      <c r="F115" s="68">
        <f>SUM(F109:F114)</f>
        <v>0</v>
      </c>
      <c r="G115" s="68">
        <f>SUM(G109:G114)</f>
        <v>0</v>
      </c>
      <c r="H115" s="68">
        <f t="shared" si="6"/>
        <v>7656933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1495225</v>
      </c>
      <c r="D118" s="23" t="s">
        <v>288</v>
      </c>
      <c r="E118" s="73">
        <f>+('DOE25'!L282)+('DOE25'!L301)+('DOE25'!L320)</f>
        <v>1989</v>
      </c>
      <c r="F118" s="23" t="s">
        <v>288</v>
      </c>
      <c r="G118" s="23" t="s">
        <v>288</v>
      </c>
      <c r="H118" s="13">
        <f t="shared" ref="H118:H145" si="7">SUM(C118:G118)</f>
        <v>1497214</v>
      </c>
    </row>
    <row r="119" spans="1:8" x14ac:dyDescent="0.2">
      <c r="A119" t="s">
        <v>208</v>
      </c>
      <c r="B119" s="31" t="s">
        <v>209</v>
      </c>
      <c r="C119" s="73">
        <f>('DOE25'!L204)+('DOE25'!L222)+('DOE25'!L240)</f>
        <v>850195</v>
      </c>
      <c r="D119" s="23" t="s">
        <v>288</v>
      </c>
      <c r="E119" s="73">
        <f>+('DOE25'!L283)+('DOE25'!L302)+('DOE25'!L321)</f>
        <v>51243</v>
      </c>
      <c r="F119" s="23" t="s">
        <v>288</v>
      </c>
      <c r="G119" s="23" t="s">
        <v>288</v>
      </c>
      <c r="H119" s="13">
        <f t="shared" si="7"/>
        <v>901438</v>
      </c>
    </row>
    <row r="120" spans="1:8" x14ac:dyDescent="0.2">
      <c r="A120" t="s">
        <v>210</v>
      </c>
      <c r="B120" s="31" t="s">
        <v>211</v>
      </c>
      <c r="C120" s="73">
        <f>('DOE25'!L205)+('DOE25'!L223)+('DOE25'!L241)</f>
        <v>711665</v>
      </c>
      <c r="D120" s="23" t="s">
        <v>288</v>
      </c>
      <c r="E120" s="73">
        <f>+('DOE25'!L284)+('DOE25'!L303)+('DOE25'!L322)</f>
        <v>0</v>
      </c>
      <c r="F120" s="23" t="s">
        <v>288</v>
      </c>
      <c r="G120" s="23" t="s">
        <v>288</v>
      </c>
      <c r="H120" s="13">
        <f t="shared" si="7"/>
        <v>711665</v>
      </c>
    </row>
    <row r="121" spans="1:8" x14ac:dyDescent="0.2">
      <c r="A121" t="s">
        <v>212</v>
      </c>
      <c r="B121" s="31" t="s">
        <v>213</v>
      </c>
      <c r="C121" s="73">
        <f>('DOE25'!L206)+('DOE25'!L224)+('DOE25'!L242)</f>
        <v>638524</v>
      </c>
      <c r="D121" s="23" t="s">
        <v>288</v>
      </c>
      <c r="E121" s="73">
        <f>+('DOE25'!L285)+('DOE25'!L304)+('DOE25'!L323)</f>
        <v>0</v>
      </c>
      <c r="F121" s="23" t="s">
        <v>288</v>
      </c>
      <c r="G121" s="23" t="s">
        <v>288</v>
      </c>
      <c r="H121" s="13">
        <f t="shared" si="7"/>
        <v>638524</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1703126</v>
      </c>
      <c r="D123" s="23" t="s">
        <v>288</v>
      </c>
      <c r="E123" s="73">
        <f>+('DOE25'!L287)+('DOE25'!L306)+('DOE25'!L325)</f>
        <v>31637</v>
      </c>
      <c r="F123" s="23" t="s">
        <v>288</v>
      </c>
      <c r="G123" s="23" t="s">
        <v>288</v>
      </c>
      <c r="H123" s="13">
        <f t="shared" si="7"/>
        <v>1734763</v>
      </c>
    </row>
    <row r="124" spans="1:8" x14ac:dyDescent="0.2">
      <c r="A124" t="s">
        <v>218</v>
      </c>
      <c r="B124" s="31" t="s">
        <v>219</v>
      </c>
      <c r="C124" s="73">
        <f>('DOE25'!L209)+('DOE25'!L227)+('DOE25'!L245+'DOE25'!L255)</f>
        <v>671864</v>
      </c>
      <c r="D124" s="23" t="s">
        <v>288</v>
      </c>
      <c r="E124" s="73">
        <f>+('DOE25'!L288)+('DOE25'!L307)+('DOE25'!L326)</f>
        <v>0</v>
      </c>
      <c r="F124" s="23" t="s">
        <v>288</v>
      </c>
      <c r="G124" s="23" t="s">
        <v>288</v>
      </c>
      <c r="H124" s="13">
        <f t="shared" si="7"/>
        <v>671864</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174795</v>
      </c>
      <c r="E127" s="23" t="s">
        <v>288</v>
      </c>
      <c r="F127" s="23" t="s">
        <v>288</v>
      </c>
      <c r="G127" s="23" t="s">
        <v>288</v>
      </c>
      <c r="H127" s="13">
        <f t="shared" si="7"/>
        <v>174795</v>
      </c>
    </row>
    <row r="128" spans="1:8" ht="12.75" thickTop="1" thickBot="1" x14ac:dyDescent="0.25">
      <c r="A128" s="32" t="s">
        <v>226</v>
      </c>
      <c r="C128" s="68">
        <f>SUM(C118:C127)</f>
        <v>6070599</v>
      </c>
      <c r="D128" s="68">
        <f>SUM(D118:D127)</f>
        <v>174795</v>
      </c>
      <c r="E128" s="68">
        <f>SUM(E118:E127)</f>
        <v>84869</v>
      </c>
      <c r="F128" s="68">
        <f>SUM(F118:F127)</f>
        <v>0</v>
      </c>
      <c r="G128" s="68">
        <f>SUM(G118:G127)</f>
        <v>0</v>
      </c>
      <c r="H128" s="68">
        <f t="shared" si="7"/>
        <v>6330263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270000</v>
      </c>
      <c r="D130" s="23" t="s">
        <v>288</v>
      </c>
      <c r="E130" s="92">
        <f>'DOE25'!L337</f>
        <v>0</v>
      </c>
      <c r="F130" s="92">
        <f>SUM('DOE25'!L375:'DOE25'!L381)</f>
        <v>374733</v>
      </c>
      <c r="G130" s="23" t="s">
        <v>288</v>
      </c>
      <c r="H130" s="13">
        <f t="shared" si="7"/>
        <v>644733</v>
      </c>
    </row>
    <row r="131" spans="1:8" x14ac:dyDescent="0.2">
      <c r="A131" t="s">
        <v>229</v>
      </c>
      <c r="B131" s="31">
        <v>5110</v>
      </c>
      <c r="C131" s="73">
        <f>'DOE25'!L261</f>
        <v>423522</v>
      </c>
      <c r="D131" s="23" t="s">
        <v>288</v>
      </c>
      <c r="E131" s="92">
        <f>'DOE25'!L342</f>
        <v>0</v>
      </c>
      <c r="F131" s="23" t="s">
        <v>288</v>
      </c>
      <c r="G131" s="23" t="s">
        <v>288</v>
      </c>
      <c r="H131" s="13">
        <f t="shared" si="7"/>
        <v>423522</v>
      </c>
    </row>
    <row r="132" spans="1:8" x14ac:dyDescent="0.2">
      <c r="A132" t="s">
        <v>230</v>
      </c>
      <c r="B132" s="31">
        <v>5120</v>
      </c>
      <c r="C132" s="73">
        <f>'DOE25'!L262</f>
        <v>156693</v>
      </c>
      <c r="D132" s="23" t="s">
        <v>288</v>
      </c>
      <c r="E132" s="92">
        <f>'DOE25'!L343</f>
        <v>0</v>
      </c>
      <c r="F132" s="23" t="s">
        <v>288</v>
      </c>
      <c r="G132" s="23" t="s">
        <v>288</v>
      </c>
      <c r="H132" s="13">
        <f t="shared" si="7"/>
        <v>156693</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18000</v>
      </c>
      <c r="D135" s="23" t="s">
        <v>288</v>
      </c>
      <c r="E135" s="92">
        <f>'DOE25'!L346</f>
        <v>0</v>
      </c>
      <c r="F135" s="23" t="s">
        <v>288</v>
      </c>
      <c r="G135" s="23" t="s">
        <v>288</v>
      </c>
      <c r="H135" s="13">
        <f t="shared" si="7"/>
        <v>18000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214107</v>
      </c>
      <c r="D138" s="23" t="s">
        <v>288</v>
      </c>
      <c r="E138" s="23" t="s">
        <v>288</v>
      </c>
      <c r="F138" s="23" t="s">
        <v>288</v>
      </c>
      <c r="G138" s="23" t="s">
        <v>288</v>
      </c>
      <c r="H138" s="13">
        <f t="shared" si="7"/>
        <v>214107</v>
      </c>
    </row>
    <row r="139" spans="1:8" x14ac:dyDescent="0.2">
      <c r="A139" t="s">
        <v>239</v>
      </c>
      <c r="B139" s="31">
        <v>5252</v>
      </c>
      <c r="C139" s="73">
        <f>'DOE25'!L402</f>
        <v>7089</v>
      </c>
      <c r="D139" s="23" t="s">
        <v>288</v>
      </c>
      <c r="E139" s="23" t="s">
        <v>288</v>
      </c>
      <c r="F139" s="23" t="s">
        <v>288</v>
      </c>
      <c r="G139" s="23" t="s">
        <v>288</v>
      </c>
      <c r="H139" s="13">
        <f t="shared" si="7"/>
        <v>7089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-46196</v>
      </c>
      <c r="D141" s="23" t="s">
        <v>288</v>
      </c>
      <c r="E141" s="23" t="s">
        <v>288</v>
      </c>
      <c r="F141" s="23" t="s">
        <v>288</v>
      </c>
      <c r="G141" s="23" t="s">
        <v>288</v>
      </c>
      <c r="H141" s="13">
        <f t="shared" si="7"/>
        <v>-46196</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1043215</v>
      </c>
      <c r="D144" s="98">
        <f>SUM(D130:D143)</f>
        <v>0</v>
      </c>
      <c r="E144" s="98">
        <f>SUM(E130:E143)</f>
        <v>0</v>
      </c>
      <c r="F144" s="98">
        <f>SUM(F130:F143)</f>
        <v>374733</v>
      </c>
      <c r="G144" s="98">
        <f>SUM(G130:G143)</f>
        <v>0</v>
      </c>
      <c r="H144" s="98">
        <f t="shared" si="7"/>
        <v>1417948</v>
      </c>
    </row>
    <row r="145" spans="1:9" ht="12.75" thickTop="1" thickBot="1" x14ac:dyDescent="0.25">
      <c r="A145" s="32" t="s">
        <v>244</v>
      </c>
      <c r="C145" s="68">
        <f>(C115+C128+C144)</f>
        <v>14547880</v>
      </c>
      <c r="D145" s="68">
        <f>(D115+D128+D144)</f>
        <v>174795</v>
      </c>
      <c r="E145" s="68">
        <f>(E115+E128+E144)</f>
        <v>307736</v>
      </c>
      <c r="F145" s="68">
        <f>(F115+F128+F144)</f>
        <v>374733</v>
      </c>
      <c r="G145" s="68">
        <f>(G115+G128+G144)</f>
        <v>0</v>
      </c>
      <c r="H145" s="68">
        <f t="shared" si="7"/>
        <v>15405144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Sunapee</v>
      </c>
    </row>
    <row r="3" spans="1:4" x14ac:dyDescent="0.2">
      <c r="B3" s="136" t="s">
        <v>1792</v>
      </c>
    </row>
    <row r="4" spans="1:4" x14ac:dyDescent="0.2">
      <c r="B4" t="s">
        <v>61</v>
      </c>
      <c r="C4" s="128">
        <f>IF('DOE25'!F666+'DOE25'!F671=0,0,ROUND('DOE25'!F673,0))</f>
        <v>25827</v>
      </c>
    </row>
    <row r="5" spans="1:4" x14ac:dyDescent="0.2">
      <c r="B5" t="s">
        <v>700</v>
      </c>
      <c r="C5" s="128">
        <f>IF('DOE25'!G666+'DOE25'!G671=0,0,ROUND('DOE25'!G673,0))</f>
        <v>39958</v>
      </c>
    </row>
    <row r="6" spans="1:4" x14ac:dyDescent="0.2">
      <c r="B6" t="s">
        <v>62</v>
      </c>
      <c r="C6" s="128">
        <f>IF('DOE25'!H666+'DOE25'!H671=0,0,ROUND('DOE25'!H673,0))</f>
        <v>31517</v>
      </c>
    </row>
    <row r="7" spans="1:4" x14ac:dyDescent="0.2">
      <c r="B7" t="s">
        <v>701</v>
      </c>
      <c r="C7" s="128">
        <f>IF('DOE25'!I666+'DOE25'!I671=0,0,ROUND('DOE25'!I673,0))</f>
        <v>30750</v>
      </c>
    </row>
    <row r="9" spans="1:4" x14ac:dyDescent="0.2">
      <c r="A9" s="135" t="s">
        <v>94</v>
      </c>
      <c r="B9" s="136" t="s">
        <v>1793</v>
      </c>
      <c r="C9" s="130" t="s">
        <v>720</v>
      </c>
      <c r="D9" s="130" t="s">
        <v>721</v>
      </c>
    </row>
    <row r="10" spans="1:4" x14ac:dyDescent="0.2">
      <c r="A10">
        <v>1100</v>
      </c>
      <c r="B10" t="s">
        <v>702</v>
      </c>
      <c r="C10" s="128">
        <f>ROUND('DOE25'!L198+'DOE25'!L216+'DOE25'!L234+'DOE25'!L277+'DOE25'!L296+'DOE25'!L315,0)</f>
        <v>4963975</v>
      </c>
      <c r="D10" s="131">
        <f>ROUND((C10/$C$28)*100,1)</f>
        <v>35.299999999999997</v>
      </c>
    </row>
    <row r="11" spans="1:4" x14ac:dyDescent="0.2">
      <c r="A11">
        <v>1200</v>
      </c>
      <c r="B11" t="s">
        <v>703</v>
      </c>
      <c r="C11" s="128">
        <f>ROUND('DOE25'!L199+'DOE25'!L217+'DOE25'!L235+'DOE25'!L278+'DOE25'!L297+'DOE25'!L316,0)</f>
        <v>2346510</v>
      </c>
      <c r="D11" s="131">
        <f>ROUND((C11/$C$28)*100,1)</f>
        <v>16.7</v>
      </c>
    </row>
    <row r="12" spans="1:4" x14ac:dyDescent="0.2">
      <c r="A12">
        <v>1300</v>
      </c>
      <c r="B12" t="s">
        <v>704</v>
      </c>
      <c r="C12" s="128">
        <f>ROUND('DOE25'!L200+'DOE25'!L218+'DOE25'!L236+'DOE25'!L279+'DOE25'!L298+'DOE25'!L317,0)</f>
        <v>21507</v>
      </c>
      <c r="D12" s="131">
        <f>ROUND((C12/$C$28)*100,1)</f>
        <v>0.2</v>
      </c>
    </row>
    <row r="13" spans="1:4" x14ac:dyDescent="0.2">
      <c r="A13">
        <v>1400</v>
      </c>
      <c r="B13" t="s">
        <v>705</v>
      </c>
      <c r="C13" s="128">
        <f>ROUND('DOE25'!L201+'DOE25'!L219+'DOE25'!L237+'DOE25'!L280+'DOE25'!L299+'DOE25'!L318,0)</f>
        <v>324941</v>
      </c>
      <c r="D13" s="131">
        <f>ROUND((C13/$C$28)*100,1)</f>
        <v>2.2999999999999998</v>
      </c>
    </row>
    <row r="14" spans="1:4" x14ac:dyDescent="0.2">
      <c r="D14" s="131"/>
    </row>
    <row r="15" spans="1:4" x14ac:dyDescent="0.2">
      <c r="A15">
        <v>2100</v>
      </c>
      <c r="B15" t="s">
        <v>706</v>
      </c>
      <c r="C15" s="128">
        <f>ROUND('DOE25'!L203+'DOE25'!L221+'DOE25'!L239+'DOE25'!L282+'DOE25'!L301+'DOE25'!L320,0)</f>
        <v>1497214</v>
      </c>
      <c r="D15" s="131">
        <f t="shared" ref="D15:D27" si="0">ROUND((C15/$C$28)*100,1)</f>
        <v>10.7</v>
      </c>
    </row>
    <row r="16" spans="1:4" x14ac:dyDescent="0.2">
      <c r="A16">
        <v>2200</v>
      </c>
      <c r="B16" t="s">
        <v>707</v>
      </c>
      <c r="C16" s="128">
        <f>ROUND('DOE25'!L204+'DOE25'!L222+'DOE25'!L240+'DOE25'!L283+'DOE25'!L302+'DOE25'!L321,0)</f>
        <v>901438</v>
      </c>
      <c r="D16" s="131">
        <f t="shared" si="0"/>
        <v>6.4</v>
      </c>
    </row>
    <row r="17" spans="1:4" x14ac:dyDescent="0.2">
      <c r="A17" s="132" t="s">
        <v>723</v>
      </c>
      <c r="B17" t="s">
        <v>738</v>
      </c>
      <c r="C17" s="128">
        <f>ROUND('DOE25'!L205+'DOE25'!L210+'DOE25'!L223+'DOE25'!L228+'DOE25'!L241+'DOE25'!L246+'DOE25'!L284+'DOE25'!L289+'DOE25'!L303+'DOE25'!L308+'DOE25'!L322+'DOE25'!L327,0)</f>
        <v>711665</v>
      </c>
      <c r="D17" s="131">
        <f t="shared" si="0"/>
        <v>5.0999999999999996</v>
      </c>
    </row>
    <row r="18" spans="1:4" x14ac:dyDescent="0.2">
      <c r="A18">
        <v>2400</v>
      </c>
      <c r="B18" t="s">
        <v>711</v>
      </c>
      <c r="C18" s="128">
        <f>ROUND('DOE25'!L206+'DOE25'!L224+'DOE25'!L242+'DOE25'!L285+'DOE25'!L304+'DOE25'!L323,0)</f>
        <v>638524</v>
      </c>
      <c r="D18" s="131">
        <f t="shared" si="0"/>
        <v>4.5</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1734763</v>
      </c>
      <c r="D20" s="131">
        <f t="shared" si="0"/>
        <v>12.4</v>
      </c>
    </row>
    <row r="21" spans="1:4" x14ac:dyDescent="0.2">
      <c r="A21">
        <v>2700</v>
      </c>
      <c r="B21" t="s">
        <v>710</v>
      </c>
      <c r="C21" s="128">
        <f>ROUND('DOE25'!L209+'DOE25'!L227+'DOE25'!L245+'DOE25'!L288+'DOE25'!L307+'DOE25'!L326,0)</f>
        <v>671864</v>
      </c>
      <c r="D21" s="131">
        <f t="shared" si="0"/>
        <v>4.8</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156693</v>
      </c>
      <c r="D25" s="131">
        <f t="shared" si="0"/>
        <v>1.1000000000000001</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76008</v>
      </c>
      <c r="D27" s="131">
        <f t="shared" si="0"/>
        <v>0.5</v>
      </c>
    </row>
    <row r="28" spans="1:4" x14ac:dyDescent="0.2">
      <c r="B28" s="135" t="s">
        <v>719</v>
      </c>
      <c r="C28" s="129">
        <f>SUM(C10:C27)</f>
        <v>14045102</v>
      </c>
      <c r="D28" s="133">
        <f>ROUND(SUM(D10:D27),0)</f>
        <v>100</v>
      </c>
    </row>
    <row r="29" spans="1:4" x14ac:dyDescent="0.2">
      <c r="A29">
        <v>4000</v>
      </c>
      <c r="B29" t="s">
        <v>724</v>
      </c>
      <c r="C29" s="128">
        <f>ROUND('DOE25'!L256+'DOE25'!L337+'DOE25'!L375+'DOE25'!L376+'DOE25'!L377+'DOE25'!L378+'DOE25'!L379+'DOE25'!L380+'DOE25'!L381,0)</f>
        <v>644733</v>
      </c>
    </row>
    <row r="30" spans="1:4" x14ac:dyDescent="0.2">
      <c r="B30" s="135" t="s">
        <v>725</v>
      </c>
      <c r="C30" s="129">
        <f>SUM(C28:C29)</f>
        <v>14689835</v>
      </c>
    </row>
    <row r="31" spans="1:4" x14ac:dyDescent="0.2">
      <c r="B31" s="32"/>
      <c r="C31" s="129"/>
    </row>
    <row r="32" spans="1:4" x14ac:dyDescent="0.2">
      <c r="A32">
        <v>5100</v>
      </c>
      <c r="B32" s="32" t="s">
        <v>726</v>
      </c>
      <c r="C32" s="129">
        <f>ROUND('DOE25'!L261+'DOE25'!L342,0)</f>
        <v>423522</v>
      </c>
    </row>
    <row r="34" spans="1:4" x14ac:dyDescent="0.2">
      <c r="A34" s="135" t="s">
        <v>94</v>
      </c>
      <c r="B34" s="136" t="s">
        <v>1794</v>
      </c>
      <c r="C34" s="130" t="s">
        <v>720</v>
      </c>
      <c r="D34" s="130" t="s">
        <v>721</v>
      </c>
    </row>
    <row r="35" spans="1:4" x14ac:dyDescent="0.2">
      <c r="A35">
        <v>1100</v>
      </c>
      <c r="B35" s="71" t="s">
        <v>727</v>
      </c>
      <c r="C35" s="128">
        <f>ROUND('DOE25'!F60+'DOE25'!G60+'DOE25'!H60+'DOE25'!I60+'DOE25'!J60,0)</f>
        <v>10094815</v>
      </c>
      <c r="D35" s="131">
        <f t="shared" ref="D35:D40" si="1">ROUND((C35/$C$41)*100,1)</f>
        <v>69.8</v>
      </c>
    </row>
    <row r="36" spans="1:4" x14ac:dyDescent="0.2">
      <c r="B36" s="71" t="s">
        <v>739</v>
      </c>
      <c r="C36" s="128">
        <f>SUM('DOE25'!F112:J112)-SUM('DOE25'!G97:G110)+('DOE25'!F175+'DOE25'!F176+'DOE25'!I175+'DOE25'!I176)-C35</f>
        <v>1091386</v>
      </c>
      <c r="D36" s="131">
        <f t="shared" si="1"/>
        <v>7.5</v>
      </c>
    </row>
    <row r="37" spans="1:4" x14ac:dyDescent="0.2">
      <c r="A37" s="132" t="s">
        <v>831</v>
      </c>
      <c r="B37" s="71" t="s">
        <v>728</v>
      </c>
      <c r="C37" s="128">
        <f>ROUND('DOE25'!F117+'DOE25'!F118,0)</f>
        <v>2678474</v>
      </c>
      <c r="D37" s="131">
        <f t="shared" si="1"/>
        <v>18.5</v>
      </c>
    </row>
    <row r="38" spans="1:4" x14ac:dyDescent="0.2">
      <c r="A38" s="132" t="s">
        <v>734</v>
      </c>
      <c r="B38" s="71" t="s">
        <v>729</v>
      </c>
      <c r="C38" s="128">
        <f>ROUND(SUM('DOE25'!F140:J140)-SUM('DOE25'!F117:F119),0)</f>
        <v>236862</v>
      </c>
      <c r="D38" s="131">
        <f t="shared" si="1"/>
        <v>1.6</v>
      </c>
    </row>
    <row r="39" spans="1:4" x14ac:dyDescent="0.2">
      <c r="A39">
        <v>4000</v>
      </c>
      <c r="B39" s="71" t="s">
        <v>730</v>
      </c>
      <c r="C39" s="128">
        <f>ROUND('DOE25'!F170+'DOE25'!G170+'DOE25'!H170+'DOE25'!I170,0)</f>
        <v>365306</v>
      </c>
      <c r="D39" s="131">
        <f t="shared" si="1"/>
        <v>2.5</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14466843</v>
      </c>
      <c r="D41" s="133">
        <f>SUM(D35:D40)</f>
        <v>99.899999999999991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Sunapee</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291</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69</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91</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f>IF('School Level Expenditures'!$B$2='School Tables'!L72,'School Tables'!S72,"")</f>
        <v>69</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f>IF('School Level Expenditures'!$B$2='School Tables'!W94,'School Tables'!AD94,"")</f>
        <v>91</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f>IF('School Level Expenditures'!$B$2=A294,'School Tables'!H294,"")</f>
        <v>291</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2024-10-04T13:34:26Z</cp:lastPrinted>
  <dcterms:created xsi:type="dcterms:W3CDTF">1997-12-04T19:04:30Z</dcterms:created>
  <dcterms:modified xsi:type="dcterms:W3CDTF">2024-12-20T19:33:11Z</dcterms:modified>
</cp:coreProperties>
</file>