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64A3DA77-D5A0-47EA-9FFD-345A874A900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D6" i="14" l="1"/>
  <c r="E9" i="17"/>
  <c r="E22" i="17"/>
  <c r="E13" i="17"/>
  <c r="H9" i="1"/>
  <c r="H473" i="1"/>
  <c r="I469" i="1"/>
  <c r="I473"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G589" i="1"/>
  <c r="H589" i="1"/>
  <c r="F589" i="1"/>
  <c r="D5" i="14" s="1"/>
  <c r="I3" i="14" s="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H89" i="2" s="1"/>
  <c r="D89" i="2"/>
  <c r="E89" i="2"/>
  <c r="F89" i="2"/>
  <c r="C90" i="2"/>
  <c r="H90" i="2" s="1"/>
  <c r="C93" i="2"/>
  <c r="F93" i="2"/>
  <c r="H93" i="2" s="1"/>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J652" i="1" s="1"/>
  <c r="H653" i="1"/>
  <c r="G654" i="1"/>
  <c r="H654" i="1"/>
  <c r="H655" i="1"/>
  <c r="H656" i="1"/>
  <c r="I170" i="1"/>
  <c r="H140" i="1" l="1"/>
  <c r="G62" i="2"/>
  <c r="E112" i="2"/>
  <c r="H25" i="2"/>
  <c r="J140" i="1"/>
  <c r="E124" i="2"/>
  <c r="H80" i="2"/>
  <c r="H44" i="2"/>
  <c r="H72" i="2"/>
  <c r="H59" i="2"/>
  <c r="H34" i="2"/>
  <c r="H137" i="2"/>
  <c r="G646" i="1"/>
  <c r="C13" i="10"/>
  <c r="G662" i="1"/>
  <c r="C112" i="2"/>
  <c r="H112" i="2" s="1"/>
  <c r="I409" i="1"/>
  <c r="H35" i="2"/>
  <c r="H13" i="2"/>
  <c r="H9" i="2"/>
  <c r="D144" i="2"/>
  <c r="C85" i="2"/>
  <c r="C91" i="2" s="1"/>
  <c r="H69" i="2"/>
  <c r="H30" i="2"/>
  <c r="H28" i="2"/>
  <c r="H17" i="2"/>
  <c r="D29" i="13"/>
  <c r="C29" i="13" s="1"/>
  <c r="E13" i="13"/>
  <c r="C13" i="13" s="1"/>
  <c r="G409" i="1"/>
  <c r="H646" i="1" s="1"/>
  <c r="H102" i="2"/>
  <c r="H100" i="2"/>
  <c r="H98" i="2"/>
  <c r="H73" i="2"/>
  <c r="H15" i="2"/>
  <c r="H11" i="2"/>
  <c r="H143" i="2"/>
  <c r="H38" i="2"/>
  <c r="H43" i="2"/>
  <c r="H96" i="2"/>
  <c r="C119" i="2"/>
  <c r="H94" i="2"/>
  <c r="H29" i="2"/>
  <c r="H27" i="2"/>
  <c r="H24" i="2"/>
  <c r="K36" i="14"/>
  <c r="K37" i="14" s="1"/>
  <c r="K2" i="14"/>
  <c r="K3" i="14" s="1"/>
  <c r="D18" i="13"/>
  <c r="C18" i="13" s="1"/>
  <c r="D15" i="13"/>
  <c r="C15" i="13" s="1"/>
  <c r="C12" i="10"/>
  <c r="C120" i="2"/>
  <c r="H120" i="2" s="1"/>
  <c r="H101" i="2"/>
  <c r="H99" i="2"/>
  <c r="H79" i="2"/>
  <c r="H76" i="2"/>
  <c r="H58" i="2"/>
  <c r="H113" i="2"/>
  <c r="H132" i="2"/>
  <c r="H36" i="2"/>
  <c r="H48" i="2"/>
  <c r="H477" i="1"/>
  <c r="H625" i="1" s="1"/>
  <c r="J625" i="1" s="1"/>
  <c r="H97" i="2"/>
  <c r="H87" i="2"/>
  <c r="H61" i="2"/>
  <c r="H26" i="2"/>
  <c r="H22" i="2"/>
  <c r="D78" i="2"/>
  <c r="H77" i="2"/>
  <c r="H47" i="2"/>
  <c r="H23" i="2"/>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3" i="2" l="1"/>
  <c r="H122" i="2"/>
  <c r="H119" i="2"/>
  <c r="H57" i="2"/>
  <c r="H42" i="2"/>
  <c r="H85" i="2"/>
  <c r="H134" i="2"/>
  <c r="I662" i="1"/>
  <c r="D128" i="2"/>
  <c r="D145" i="2" s="1"/>
  <c r="H127" i="2"/>
  <c r="L572" i="1"/>
  <c r="H16" i="2"/>
  <c r="H31" i="2"/>
  <c r="H62" i="2"/>
  <c r="H21" i="2"/>
  <c r="H78" i="2"/>
  <c r="H103" i="2"/>
  <c r="H91" i="2"/>
  <c r="D81" i="2"/>
  <c r="D104" i="2" s="1"/>
  <c r="F194" i="1"/>
  <c r="G628" i="1" s="1"/>
  <c r="J628" i="1" s="1"/>
  <c r="C81" i="2"/>
  <c r="H50" i="2"/>
  <c r="D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H144" i="2" s="1"/>
  <c r="H141" i="2"/>
  <c r="H8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<sst xmlns="http://schemas.openxmlformats.org/spreadsheetml/2006/main" count="6639" uniqueCount="1841">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</sst>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1426</v>
      </c>
      <c r="B2">
        <f>INDEX('School Tables'!$AH$3:$AH$213,MATCH('DOE25'!A2,'School Tables'!$AJ$3:$AJ$213,0))</f>
        <v>531</v>
      </c>
      <c r="C2">
        <f>INDEX('School Tables'!$AI$3:$AI$213,MATCH('DOE25'!A2,'School Tables'!$AJ$3:$AJ$213,0))</f>
        <v>531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-141556.54999999999</v>
      </c>
      <c r="G9" s="18">
        <v>-22772.07</v>
      </c>
      <c r="H9" s="18">
        <f>316560.04-350000</f>
        <v>-33439.960000000021</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1143.94</v>
      </c>
      <c r="K10" s="23" t="s">
        <v>288</v>
      </c>
      <c r="L10" s="23" t="s">
        <v>288</v>
      </c>
      <c r="M10" s="8"/>
      <c r="N10" s="164"/>
    </row>
    <row r="11" spans="1:14" s="3" customFormat="1" ht="12.2" customHeight="1" x14ac:dyDescent="0.15">
      <c r="A11" s="1" t="s">
        <v>563</v>
      </c>
      <c r="B11" s="2" t="s">
        <v>289</v>
      </c>
      <c r="C11" s="6">
        <v>3</v>
      </c>
      <c r="D11" s="2" t="s">
        <v>428</v>
      </c>
      <c r="E11" s="6">
        <v>120</v>
      </c>
      <c r="F11" s="18">
        <v>404203</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2514.64</v>
      </c>
      <c r="G13" s="18">
        <v>23782.080000000002</v>
      </c>
      <c r="H13" s="18">
        <v>35266.959999999999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6584.43</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271745.52</v>
      </c>
      <c r="G19" s="38">
        <f>SUM(G9:G18)</f>
        <v>1010.010000000002</v>
      </c>
      <c r="H19" s="38">
        <f>SUM(H9:H18)</f>
        <v>1826.9999999999782</v>
      </c>
      <c r="I19" s="38">
        <f>SUM(I9:I18)</f>
        <v>0</v>
      </c>
      <c r="J19" s="38">
        <f>SUM(J9:J18)</f>
        <v>1143.94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16891.23</v>
      </c>
      <c r="G24" s="18">
        <v>380.82</v>
      </c>
      <c r="H24" s="18">
        <v>2430.58</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7338.1</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24229.33</v>
      </c>
      <c r="G32" s="38">
        <f>SUM(G22:G31)</f>
        <v>380.82</v>
      </c>
      <c r="H32" s="38">
        <f>SUM(H22:H31)</f>
        <v>2430.58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135300.51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629.19000000000005</v>
      </c>
      <c r="H48" s="18">
        <v>-603.58000000000004</v>
      </c>
      <c r="I48" s="18"/>
      <c r="J48" s="13">
        <f>SUM(I460)</f>
        <v>1143.94</v>
      </c>
      <c r="K48" s="23" t="s">
        <v>288</v>
      </c>
      <c r="L48" s="23" t="s">
        <v>288</v>
      </c>
      <c r="M48" s="8"/>
      <c r="N48" s="164"/>
    </row>
    <row r="49" spans="1:14" s="3" customFormat="1" ht="12.2" customHeight="1" x14ac:dyDescent="0.15">
      <c r="A49" s="1" t="s">
        <v>855</v>
      </c>
      <c r="B49" s="2" t="s">
        <v>289</v>
      </c>
      <c r="C49" s="6">
        <v>34</v>
      </c>
      <c r="D49" s="2"/>
      <c r="E49" s="6">
        <v>753</v>
      </c>
      <c r="F49" s="18">
        <v>62215.68</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247516.19</v>
      </c>
      <c r="G51" s="38">
        <f>SUM(G35:G50)</f>
        <v>629.19000000000005</v>
      </c>
      <c r="H51" s="38">
        <f>SUM(H35:H50)</f>
        <v>-603.58000000000004</v>
      </c>
      <c r="I51" s="38">
        <f>SUM(I35:I50)</f>
        <v>0</v>
      </c>
      <c r="J51" s="38">
        <f>SUM(J35:J50)</f>
        <v>1143.94</v>
      </c>
      <c r="K51" s="42" t="s">
        <v>288</v>
      </c>
      <c r="L51" s="42" t="s">
        <v>288</v>
      </c>
      <c r="N51" s="130"/>
    </row>
    <row r="52" spans="1:14" s="3" customFormat="1" ht="12.2" customHeight="1" thickTop="1" x14ac:dyDescent="0.15">
      <c r="A52" s="35" t="s">
        <v>455</v>
      </c>
      <c r="B52" s="36" t="s">
        <v>289</v>
      </c>
      <c r="C52" s="6">
        <v>37</v>
      </c>
      <c r="D52" s="36" t="s">
        <v>653</v>
      </c>
      <c r="E52" s="36"/>
      <c r="F52" s="38">
        <f>F51+F32</f>
        <v>271745.52</v>
      </c>
      <c r="G52" s="38">
        <f>G51+G32</f>
        <v>1010.01</v>
      </c>
      <c r="H52" s="38">
        <f>H51+H32</f>
        <v>1827</v>
      </c>
      <c r="I52" s="38">
        <f>I51+I32</f>
        <v>0</v>
      </c>
      <c r="J52" s="38">
        <f>J51+J32</f>
        <v>1143.94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4453494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4453494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1507.72</v>
      </c>
      <c r="G96" s="18"/>
      <c r="H96" s="18"/>
      <c r="I96" s="18"/>
      <c r="J96" s="18">
        <v>17.27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36576.370000000003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-384.38</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3568.32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4891.66</v>
      </c>
      <c r="G111" s="38">
        <f>SUM(G96:G110)</f>
        <v>36576.370000000003</v>
      </c>
      <c r="H111" s="38">
        <f>SUM(H96:H110)</f>
        <v>0</v>
      </c>
      <c r="I111" s="38">
        <f>SUM(I96:I110)</f>
        <v>0</v>
      </c>
      <c r="J111" s="38">
        <f>SUM(J96:J110)</f>
        <v>17.27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4458385.66</v>
      </c>
      <c r="G112" s="38">
        <f>G60+G111</f>
        <v>36576.370000000003</v>
      </c>
      <c r="H112" s="38">
        <f>H60+H79+H94+H111</f>
        <v>0</v>
      </c>
      <c r="I112" s="38">
        <f>I60+I111</f>
        <v>0</v>
      </c>
      <c r="J112" s="38">
        <f>J60+J111</f>
        <v>17.27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506256.94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515709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4265</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1026230.94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688.96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688.96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1026230.94</v>
      </c>
      <c r="G140" s="38">
        <f>G121+SUM(G136:G137)</f>
        <v>688.96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81890.66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20342.54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29497.55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58823.59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52510.03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36578.97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378345.42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52510.03</v>
      </c>
      <c r="G163" s="38">
        <f>SUM(G150:G162)</f>
        <v>29497.55</v>
      </c>
      <c r="H163" s="38">
        <f>SUM(H150:H162)</f>
        <v>575981.17999999993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8262.5400000000009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60772.57</v>
      </c>
      <c r="G170" s="38">
        <f>G147+G163+SUM(G164:G169)</f>
        <v>29497.55</v>
      </c>
      <c r="H170" s="38">
        <f>H147+H163+SUM(H164:H169)</f>
        <v>575981.17999999993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v>494741.54</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494741.54</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20000</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v>350000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20000</v>
      </c>
      <c r="H184" s="38">
        <f>SUM(H180:H183)</f>
        <v>0</v>
      </c>
      <c r="I184" s="38">
        <f>SUM(I180:I183)</f>
        <v>350000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20000</v>
      </c>
      <c r="H193" s="38">
        <f>+H184+SUM(H189:H192)</f>
        <v>0</v>
      </c>
      <c r="I193" s="38">
        <f>I178+I184+SUM(I189:I192)</f>
        <v>844741.54</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5545389.1699999999</v>
      </c>
      <c r="G194" s="38">
        <f>G112+G140+G170+G193</f>
        <v>86762.880000000005</v>
      </c>
      <c r="H194" s="38">
        <f>H112+H140+H170+H193</f>
        <v>575981.17999999993</v>
      </c>
      <c r="I194" s="38">
        <f>I112+I140+I170+I193</f>
        <v>844741.54</v>
      </c>
      <c r="J194" s="38">
        <f>J112+J140+J193</f>
        <v>17.27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1467662.91</v>
      </c>
      <c r="G198" s="18">
        <v>868598.21</v>
      </c>
      <c r="H198" s="18">
        <v>10022.73</v>
      </c>
      <c r="I198" s="18">
        <v>66444.320000000007</v>
      </c>
      <c r="J198" s="18">
        <v>31339.73</v>
      </c>
      <c r="K198" s="18">
        <v>3418.39</v>
      </c>
      <c r="L198" s="13">
        <f>SUM(F198:K198)</f>
        <v>2447486.29</v>
      </c>
      <c r="M198" s="8"/>
      <c r="N198" s="164"/>
    </row>
    <row r="199" spans="1:14" s="3" customFormat="1" ht="12.2" customHeight="1" x14ac:dyDescent="0.15">
      <c r="A199" s="1" t="s">
        <v>439</v>
      </c>
      <c r="B199" s="2" t="s">
        <v>341</v>
      </c>
      <c r="C199" s="2" t="s">
        <v>291</v>
      </c>
      <c r="D199" s="2" t="s">
        <v>431</v>
      </c>
      <c r="E199" s="6">
        <v>1200</v>
      </c>
      <c r="F199" s="18">
        <v>659991.74</v>
      </c>
      <c r="G199" s="18">
        <v>325071.53999999998</v>
      </c>
      <c r="H199" s="18">
        <v>144587.73000000001</v>
      </c>
      <c r="I199" s="18">
        <v>5133.18</v>
      </c>
      <c r="J199" s="18">
        <v>5706.45</v>
      </c>
      <c r="K199" s="18"/>
      <c r="L199" s="13">
        <f>SUM(F199:K199)</f>
        <v>1140490.6399999999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56499.42</v>
      </c>
      <c r="G201" s="18">
        <v>15216.92</v>
      </c>
      <c r="H201" s="18">
        <v>4301.6000000000004</v>
      </c>
      <c r="I201" s="18">
        <v>15999.63</v>
      </c>
      <c r="J201" s="18"/>
      <c r="K201" s="18">
        <v>2833.9</v>
      </c>
      <c r="L201" s="13">
        <f>SUM(F201:K201)</f>
        <v>94851.47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96817.06</v>
      </c>
      <c r="G203" s="18">
        <v>48445.62</v>
      </c>
      <c r="H203" s="18">
        <v>268712.53999999998</v>
      </c>
      <c r="I203" s="18">
        <v>1562.14</v>
      </c>
      <c r="J203" s="18"/>
      <c r="K203" s="18">
        <v>1732.32</v>
      </c>
      <c r="L203" s="13">
        <f t="shared" ref="L203:L209" si="0">SUM(F203:K203)</f>
        <v>417269.68</v>
      </c>
      <c r="M203" s="8"/>
      <c r="N203" s="164"/>
    </row>
    <row r="204" spans="1:14" s="3" customFormat="1" ht="12.2" customHeight="1" x14ac:dyDescent="0.15">
      <c r="A204" s="1" t="s">
        <v>443</v>
      </c>
      <c r="B204" s="2" t="s">
        <v>341</v>
      </c>
      <c r="C204" s="2" t="s">
        <v>295</v>
      </c>
      <c r="D204" s="2" t="s">
        <v>431</v>
      </c>
      <c r="E204" s="6">
        <v>2200</v>
      </c>
      <c r="F204" s="18">
        <v>894.96</v>
      </c>
      <c r="G204" s="18">
        <v>15621.84</v>
      </c>
      <c r="H204" s="18">
        <v>53405.52</v>
      </c>
      <c r="I204" s="18">
        <v>802.78</v>
      </c>
      <c r="J204" s="18"/>
      <c r="K204" s="18"/>
      <c r="L204" s="13">
        <f t="shared" si="0"/>
        <v>70725.099999999991</v>
      </c>
      <c r="M204" s="8"/>
      <c r="N204" s="164"/>
    </row>
    <row r="205" spans="1:14" s="3" customFormat="1" ht="12.2" customHeight="1" x14ac:dyDescent="0.15">
      <c r="A205" s="1" t="s">
        <v>444</v>
      </c>
      <c r="B205" s="2" t="s">
        <v>341</v>
      </c>
      <c r="C205" s="2" t="s">
        <v>296</v>
      </c>
      <c r="D205" s="2" t="s">
        <v>431</v>
      </c>
      <c r="E205" s="6">
        <v>2300</v>
      </c>
      <c r="F205" s="18">
        <v>7503.75</v>
      </c>
      <c r="G205" s="18">
        <v>494.48</v>
      </c>
      <c r="H205" s="18">
        <v>242724.19</v>
      </c>
      <c r="I205" s="18"/>
      <c r="J205" s="18"/>
      <c r="K205" s="18">
        <v>3370.97</v>
      </c>
      <c r="L205" s="13">
        <f t="shared" si="0"/>
        <v>254093.39</v>
      </c>
      <c r="M205" s="8"/>
      <c r="N205" s="164"/>
    </row>
    <row r="206" spans="1:14" s="3" customFormat="1" ht="12.2" customHeight="1" x14ac:dyDescent="0.15">
      <c r="A206" s="1" t="s">
        <v>445</v>
      </c>
      <c r="B206" s="2" t="s">
        <v>341</v>
      </c>
      <c r="C206" s="2" t="s">
        <v>297</v>
      </c>
      <c r="D206" s="2" t="s">
        <v>431</v>
      </c>
      <c r="E206" s="6">
        <v>2400</v>
      </c>
      <c r="F206" s="18">
        <v>181841.75</v>
      </c>
      <c r="G206" s="18">
        <v>110242.42</v>
      </c>
      <c r="H206" s="18">
        <v>3432.22</v>
      </c>
      <c r="I206" s="18">
        <v>8843.75</v>
      </c>
      <c r="J206" s="18"/>
      <c r="K206" s="18">
        <v>1045.5</v>
      </c>
      <c r="L206" s="13">
        <f t="shared" si="0"/>
        <v>305405.63999999996</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147172.31</v>
      </c>
      <c r="G208" s="18">
        <v>77018.52</v>
      </c>
      <c r="H208" s="18">
        <v>272093.03000000003</v>
      </c>
      <c r="I208" s="18">
        <v>106157.87</v>
      </c>
      <c r="J208" s="18">
        <v>44811.15</v>
      </c>
      <c r="K208" s="18"/>
      <c r="L208" s="13">
        <f t="shared" si="0"/>
        <v>647252.88</v>
      </c>
      <c r="M208" s="8"/>
      <c r="N208" s="164"/>
    </row>
    <row r="209" spans="1:14" s="3" customFormat="1" ht="12.2" customHeight="1" x14ac:dyDescent="0.15">
      <c r="A209" s="1" t="s">
        <v>448</v>
      </c>
      <c r="B209" s="2" t="s">
        <v>341</v>
      </c>
      <c r="C209" s="2" t="s">
        <v>300</v>
      </c>
      <c r="D209" s="2" t="s">
        <v>431</v>
      </c>
      <c r="E209" s="6">
        <v>2700</v>
      </c>
      <c r="F209" s="18"/>
      <c r="G209" s="18"/>
      <c r="H209" s="18">
        <v>224576.37</v>
      </c>
      <c r="I209" s="18"/>
      <c r="J209" s="18"/>
      <c r="K209" s="18"/>
      <c r="L209" s="13">
        <f t="shared" si="0"/>
        <v>224576.37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2618383.9</v>
      </c>
      <c r="G212" s="38">
        <f t="shared" si="1"/>
        <v>1460709.55</v>
      </c>
      <c r="H212" s="38">
        <f t="shared" si="1"/>
        <v>1223855.9300000002</v>
      </c>
      <c r="I212" s="38">
        <f t="shared" si="1"/>
        <v>204943.66999999998</v>
      </c>
      <c r="J212" s="38">
        <f t="shared" si="1"/>
        <v>81857.33</v>
      </c>
      <c r="K212" s="38">
        <f t="shared" si="1"/>
        <v>12401.08</v>
      </c>
      <c r="L212" s="38">
        <f t="shared" si="1"/>
        <v>5602151.46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4125</v>
      </c>
      <c r="I256" s="18"/>
      <c r="J256" s="18"/>
      <c r="K256" s="18"/>
      <c r="L256" s="13">
        <f t="shared" si="6"/>
        <v>4125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4125</v>
      </c>
      <c r="I257" s="38">
        <f t="shared" si="7"/>
        <v>0</v>
      </c>
      <c r="J257" s="38">
        <f t="shared" si="7"/>
        <v>0</v>
      </c>
      <c r="K257" s="38">
        <f t="shared" si="7"/>
        <v>0</v>
      </c>
      <c r="L257" s="38">
        <f>SUM(F257:K257)</f>
        <v>4125</v>
      </c>
      <c r="M257" s="8"/>
      <c r="N257" s="164"/>
    </row>
    <row r="258" spans="1:14" s="3" customFormat="1" ht="12.2" customHeight="1" thickTop="1" x14ac:dyDescent="0.15">
      <c r="A258" s="35" t="s">
        <v>462</v>
      </c>
      <c r="B258" s="37">
        <v>10</v>
      </c>
      <c r="C258" s="37">
        <v>8</v>
      </c>
      <c r="D258" s="36" t="s">
        <v>431</v>
      </c>
      <c r="E258" s="37"/>
      <c r="F258" s="38">
        <f t="shared" ref="F258:L258" si="8">F212+F230+F248+F257</f>
        <v>2618383.9</v>
      </c>
      <c r="G258" s="38">
        <f t="shared" si="8"/>
        <v>1460709.55</v>
      </c>
      <c r="H258" s="38">
        <f t="shared" si="8"/>
        <v>1227980.9300000002</v>
      </c>
      <c r="I258" s="38">
        <f t="shared" si="8"/>
        <v>204943.66999999998</v>
      </c>
      <c r="J258" s="38">
        <f t="shared" si="8"/>
        <v>81857.33</v>
      </c>
      <c r="K258" s="38">
        <f t="shared" si="8"/>
        <v>12401.08</v>
      </c>
      <c r="L258" s="38">
        <f t="shared" si="8"/>
        <v>5606276.46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20000</v>
      </c>
      <c r="L264" s="13">
        <f>SUM(F264:K264)</f>
        <v>20000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4"/>
    </row>
    <row r="272" spans="1:14" s="33" customFormat="1" ht="12.2" customHeight="1" thickTop="1" x14ac:dyDescent="0.2">
      <c r="A272" s="40" t="s">
        <v>464</v>
      </c>
      <c r="B272" s="37">
        <v>10</v>
      </c>
      <c r="C272" s="37">
        <v>18</v>
      </c>
      <c r="D272" s="36" t="s">
        <v>431</v>
      </c>
      <c r="E272" s="37"/>
      <c r="F272" s="39">
        <f t="shared" ref="F272:L272" si="11">F258+F271</f>
        <v>2618383.9</v>
      </c>
      <c r="G272" s="39">
        <f t="shared" si="11"/>
        <v>1460709.55</v>
      </c>
      <c r="H272" s="39">
        <f t="shared" si="11"/>
        <v>1227980.9300000002</v>
      </c>
      <c r="I272" s="39">
        <f t="shared" si="11"/>
        <v>204943.66999999998</v>
      </c>
      <c r="J272" s="39">
        <f t="shared" si="11"/>
        <v>81857.33</v>
      </c>
      <c r="K272" s="39">
        <f t="shared" si="11"/>
        <v>32401.08</v>
      </c>
      <c r="L272" s="39">
        <f t="shared" si="11"/>
        <v>5626276.46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38874.67</v>
      </c>
      <c r="G277" s="18">
        <v>22265.14</v>
      </c>
      <c r="H277" s="18"/>
      <c r="I277" s="18">
        <v>30621.63</v>
      </c>
      <c r="J277" s="18"/>
      <c r="K277" s="18"/>
      <c r="L277" s="13">
        <f>SUM(F277:K277)</f>
        <v>91761.44</v>
      </c>
      <c r="M277" s="8"/>
      <c r="N277" s="164"/>
    </row>
    <row r="278" spans="1:14" s="3" customFormat="1" ht="12.2" customHeight="1" x14ac:dyDescent="0.15">
      <c r="A278" s="1" t="s">
        <v>439</v>
      </c>
      <c r="B278" s="2" t="s">
        <v>357</v>
      </c>
      <c r="C278" s="2" t="s">
        <v>291</v>
      </c>
      <c r="D278" s="2" t="s">
        <v>431</v>
      </c>
      <c r="E278" s="6">
        <v>1200</v>
      </c>
      <c r="F278" s="18"/>
      <c r="G278" s="18"/>
      <c r="H278" s="18">
        <v>47361</v>
      </c>
      <c r="I278" s="18"/>
      <c r="J278" s="18"/>
      <c r="K278" s="18"/>
      <c r="L278" s="13">
        <f>SUM(F278:K278)</f>
        <v>47361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10272</v>
      </c>
      <c r="G280" s="18">
        <v>2777</v>
      </c>
      <c r="H280" s="18">
        <v>9784.75</v>
      </c>
      <c r="I280" s="18">
        <v>473.09</v>
      </c>
      <c r="J280" s="18"/>
      <c r="K280" s="18"/>
      <c r="L280" s="13">
        <f>SUM(F280:K280)</f>
        <v>23306.84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4918.6499999999996</v>
      </c>
      <c r="G283" s="18">
        <v>1327.89</v>
      </c>
      <c r="H283" s="18">
        <v>18384.740000000002</v>
      </c>
      <c r="I283" s="18"/>
      <c r="J283" s="18"/>
      <c r="K283" s="18"/>
      <c r="L283" s="13">
        <f t="shared" si="12"/>
        <v>24631.280000000002</v>
      </c>
      <c r="M283" s="8"/>
      <c r="N283" s="164"/>
    </row>
    <row r="284" spans="1:14" s="3" customFormat="1" ht="12.2" customHeight="1" x14ac:dyDescent="0.15">
      <c r="A284" s="1" t="s">
        <v>444</v>
      </c>
      <c r="B284" s="2" t="s">
        <v>357</v>
      </c>
      <c r="C284" s="2" t="s">
        <v>296</v>
      </c>
      <c r="D284" s="2" t="s">
        <v>431</v>
      </c>
      <c r="E284" s="6">
        <v>2300</v>
      </c>
      <c r="F284" s="18">
        <v>5040</v>
      </c>
      <c r="G284" s="18"/>
      <c r="H284" s="18">
        <v>9973.59</v>
      </c>
      <c r="I284" s="18"/>
      <c r="J284" s="18"/>
      <c r="K284" s="18"/>
      <c r="L284" s="13">
        <f t="shared" si="12"/>
        <v>15013.59</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14020.33</v>
      </c>
      <c r="L286" s="13">
        <f t="shared" si="12"/>
        <v>14020.33</v>
      </c>
      <c r="M286" s="8"/>
      <c r="N286" s="164"/>
    </row>
    <row r="287" spans="1:14" s="3" customFormat="1" ht="12.2" customHeight="1" x14ac:dyDescent="0.15">
      <c r="A287" s="1" t="s">
        <v>447</v>
      </c>
      <c r="B287" s="2" t="s">
        <v>357</v>
      </c>
      <c r="C287" s="2" t="s">
        <v>299</v>
      </c>
      <c r="D287" s="2" t="s">
        <v>431</v>
      </c>
      <c r="E287" s="6">
        <v>2600</v>
      </c>
      <c r="F287" s="18"/>
      <c r="G287" s="18"/>
      <c r="H287" s="18"/>
      <c r="I287" s="18">
        <v>8943.26</v>
      </c>
      <c r="J287" s="18"/>
      <c r="K287" s="18"/>
      <c r="L287" s="13">
        <f t="shared" si="12"/>
        <v>8943.26</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59105.32</v>
      </c>
      <c r="G291" s="39">
        <f t="shared" si="13"/>
        <v>26370.03</v>
      </c>
      <c r="H291" s="39">
        <f t="shared" si="13"/>
        <v>85504.08</v>
      </c>
      <c r="I291" s="39">
        <f t="shared" si="13"/>
        <v>40037.980000000003</v>
      </c>
      <c r="J291" s="39">
        <f t="shared" si="13"/>
        <v>0</v>
      </c>
      <c r="K291" s="39">
        <f t="shared" si="13"/>
        <v>14020.33</v>
      </c>
      <c r="L291" s="38">
        <f t="shared" si="13"/>
        <v>225037.74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1700</v>
      </c>
      <c r="I337" s="18"/>
      <c r="J337" s="18"/>
      <c r="K337" s="18"/>
      <c r="L337" s="13">
        <f t="shared" si="18"/>
        <v>1700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1700</v>
      </c>
      <c r="I338" s="38">
        <f t="shared" si="19"/>
        <v>0</v>
      </c>
      <c r="J338" s="38">
        <f t="shared" si="19"/>
        <v>0</v>
      </c>
      <c r="K338" s="38">
        <f t="shared" si="19"/>
        <v>0</v>
      </c>
      <c r="L338" s="38">
        <f t="shared" si="18"/>
        <v>1700</v>
      </c>
      <c r="M338" s="8"/>
      <c r="N338" s="164"/>
    </row>
    <row r="339" spans="1:43" s="3" customFormat="1" ht="12.2" customHeight="1" thickTop="1" x14ac:dyDescent="0.15">
      <c r="A339" s="35" t="s">
        <v>468</v>
      </c>
      <c r="B339" s="37">
        <v>14</v>
      </c>
      <c r="C339" s="37">
        <v>7</v>
      </c>
      <c r="D339" s="36" t="s">
        <v>431</v>
      </c>
      <c r="E339" s="37"/>
      <c r="F339" s="38">
        <f t="shared" ref="F339:L339" si="20">F291+F310+F329+F338</f>
        <v>59105.32</v>
      </c>
      <c r="G339" s="38">
        <f t="shared" si="20"/>
        <v>26370.03</v>
      </c>
      <c r="H339" s="38">
        <f t="shared" si="20"/>
        <v>87204.08</v>
      </c>
      <c r="I339" s="38">
        <f t="shared" si="20"/>
        <v>40037.980000000003</v>
      </c>
      <c r="J339" s="38">
        <f t="shared" si="20"/>
        <v>0</v>
      </c>
      <c r="K339" s="38">
        <f t="shared" si="20"/>
        <v>14020.33</v>
      </c>
      <c r="L339" s="38">
        <f t="shared" si="20"/>
        <v>226737.74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350000</v>
      </c>
      <c r="L347" s="13">
        <f t="shared" si="21"/>
        <v>350000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350000</v>
      </c>
      <c r="L352" s="38">
        <f>SUM(L342:L351)</f>
        <v>350000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59105.32</v>
      </c>
      <c r="G353" s="38">
        <f>G339</f>
        <v>26370.03</v>
      </c>
      <c r="H353" s="38">
        <f>H339</f>
        <v>87204.08</v>
      </c>
      <c r="I353" s="38">
        <f>I339</f>
        <v>40037.980000000003</v>
      </c>
      <c r="J353" s="38">
        <f>J339</f>
        <v>0</v>
      </c>
      <c r="K353" s="38">
        <f>K339+K352</f>
        <v>364020.33</v>
      </c>
      <c r="L353" s="38">
        <f>L339+L352</f>
        <v>576737.74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99980.47</v>
      </c>
      <c r="I359" s="18"/>
      <c r="J359" s="18"/>
      <c r="K359" s="18"/>
      <c r="L359" s="13">
        <f>SUM(F359:K359)</f>
        <v>99980.47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99980.47</v>
      </c>
      <c r="I363" s="38">
        <f t="shared" si="22"/>
        <v>0</v>
      </c>
      <c r="J363" s="38">
        <f t="shared" si="22"/>
        <v>0</v>
      </c>
      <c r="K363" s="38">
        <f t="shared" si="22"/>
        <v>0</v>
      </c>
      <c r="L363" s="38">
        <f t="shared" si="22"/>
        <v>99980.47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494741.54</v>
      </c>
      <c r="I380" s="18"/>
      <c r="J380" s="18"/>
      <c r="K380" s="18"/>
      <c r="L380" s="13">
        <f t="shared" si="23"/>
        <v>494741.54</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350000</v>
      </c>
      <c r="L382" s="13">
        <f t="shared" si="23"/>
        <v>350000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494741.54</v>
      </c>
      <c r="I383" s="38">
        <f t="shared" si="24"/>
        <v>0</v>
      </c>
      <c r="J383" s="38">
        <f t="shared" si="24"/>
        <v>0</v>
      </c>
      <c r="K383" s="38">
        <f t="shared" si="24"/>
        <v>350000</v>
      </c>
      <c r="L383" s="38">
        <f t="shared" si="24"/>
        <v>844741.54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17.27</v>
      </c>
      <c r="I397" s="18"/>
      <c r="J397" s="23" t="s">
        <v>288</v>
      </c>
      <c r="K397" s="23" t="s">
        <v>288</v>
      </c>
      <c r="L397" s="13">
        <f t="shared" si="26"/>
        <v>17.27</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17.27</v>
      </c>
      <c r="I402" s="38">
        <f>SUM(I396:I401)</f>
        <v>0</v>
      </c>
      <c r="J402" s="42" t="s">
        <v>288</v>
      </c>
      <c r="K402" s="42" t="s">
        <v>288</v>
      </c>
      <c r="L402" s="38">
        <f>SUM(L396:L401)</f>
        <v>17.27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17.27</v>
      </c>
      <c r="I409" s="38">
        <f>I394+I402+I408</f>
        <v>0</v>
      </c>
      <c r="J409" s="23" t="s">
        <v>288</v>
      </c>
      <c r="K409" s="23" t="s">
        <v>288</v>
      </c>
      <c r="L409" s="38">
        <f>L394+L402+L408</f>
        <v>17.27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1143.94</v>
      </c>
      <c r="G441" s="18"/>
      <c r="H441" s="18"/>
      <c r="I441" s="13">
        <f t="shared" si="33"/>
        <v>1143.94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1143.94</v>
      </c>
      <c r="G447" s="13">
        <f>SUM(G440:G446)</f>
        <v>0</v>
      </c>
      <c r="H447" s="13">
        <f>SUM(H440:H446)</f>
        <v>0</v>
      </c>
      <c r="I447" s="13">
        <f>SUM(I440:I446)</f>
        <v>1143.94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1143.94</v>
      </c>
      <c r="G460" s="18"/>
      <c r="H460" s="18"/>
      <c r="I460" s="13">
        <f t="shared" si="34"/>
        <v>1143.94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1143.94</v>
      </c>
      <c r="G461" s="65">
        <f>SUM(G455:G460)</f>
        <v>0</v>
      </c>
      <c r="H461" s="65">
        <f>SUM(H455:H460)</f>
        <v>0</v>
      </c>
      <c r="I461" s="65">
        <f>SUM(I455:I460)</f>
        <v>1143.94</v>
      </c>
      <c r="J461" s="23" t="s">
        <v>288</v>
      </c>
      <c r="K461" s="23" t="s">
        <v>288</v>
      </c>
      <c r="L461" s="23" t="s">
        <v>288</v>
      </c>
      <c r="N461" s="130"/>
    </row>
    <row r="462" spans="1:86" ht="12.2" customHeight="1" thickTop="1" x14ac:dyDescent="0.2">
      <c r="A462" s="40" t="s">
        <v>424</v>
      </c>
      <c r="B462" s="41">
        <v>18</v>
      </c>
      <c r="C462" s="64">
        <v>21</v>
      </c>
      <c r="D462" s="114" t="s">
        <v>432</v>
      </c>
      <c r="E462" s="64"/>
      <c r="F462" s="39">
        <f>F453+F461</f>
        <v>1143.94</v>
      </c>
      <c r="G462" s="39">
        <f>G453+G461</f>
        <v>0</v>
      </c>
      <c r="H462" s="39">
        <f>H453+H461</f>
        <v>0</v>
      </c>
      <c r="I462" s="39">
        <f>I453+I461</f>
        <v>1143.94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328403.48</v>
      </c>
      <c r="G466" s="18">
        <v>13846.78</v>
      </c>
      <c r="H466" s="18">
        <v>152.97999999999999</v>
      </c>
      <c r="I466" s="18">
        <v>0</v>
      </c>
      <c r="J466" s="18">
        <v>1126.67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5545389.1699999999</v>
      </c>
      <c r="G469" s="18">
        <v>86762.880000000005</v>
      </c>
      <c r="H469" s="18">
        <v>575981.18000000005</v>
      </c>
      <c r="I469" s="18">
        <f>494741.54+350000</f>
        <v>844741.54</v>
      </c>
      <c r="J469" s="18">
        <v>17.27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5545389.1699999999</v>
      </c>
      <c r="G471" s="19">
        <f>SUM(G469:G470)</f>
        <v>86762.880000000005</v>
      </c>
      <c r="H471" s="19">
        <f>SUM(H469:H470)</f>
        <v>575981.18000000005</v>
      </c>
      <c r="I471" s="19">
        <f>SUM(I469:I470)</f>
        <v>844741.54</v>
      </c>
      <c r="J471" s="19">
        <f>SUM(J469:J470)</f>
        <v>17.27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5626276.46</v>
      </c>
      <c r="G473" s="18">
        <v>99980.47</v>
      </c>
      <c r="H473" s="18">
        <f>226737.74+350000</f>
        <v>576737.74</v>
      </c>
      <c r="I473" s="18">
        <f>844741.54</f>
        <v>844741.54</v>
      </c>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5626276.46</v>
      </c>
      <c r="G475" s="19">
        <f>SUM(G473:G474)</f>
        <v>99980.47</v>
      </c>
      <c r="H475" s="19">
        <f>SUM(H473:H474)</f>
        <v>576737.74</v>
      </c>
      <c r="I475" s="19">
        <f>SUM(I473:I474)</f>
        <v>844741.54</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247516.19000000041</v>
      </c>
      <c r="G477" s="19">
        <f>(G466+G471)- G475</f>
        <v>629.19000000000233</v>
      </c>
      <c r="H477" s="19">
        <f>(H466+H471)- H475</f>
        <v>-603.57999999995809</v>
      </c>
      <c r="I477" s="19">
        <f>(I466+I471)- I475</f>
        <v>0</v>
      </c>
      <c r="J477" s="19">
        <f>(J466+J471)- J475</f>
        <v>1143.94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659991.74</v>
      </c>
      <c r="G522" s="18">
        <v>325071.53999999998</v>
      </c>
      <c r="H522" s="18">
        <v>191948.73</v>
      </c>
      <c r="I522" s="18">
        <v>5133.18</v>
      </c>
      <c r="J522" s="18">
        <v>5706.45</v>
      </c>
      <c r="K522" s="18"/>
      <c r="L522" s="69">
        <f>SUM(F522:K522)</f>
        <v>1187851.6399999999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659991.74</v>
      </c>
      <c r="G525" s="81">
        <f t="shared" ref="G525:L525" si="36">SUM(G522:G524)</f>
        <v>325071.53999999998</v>
      </c>
      <c r="H525" s="81">
        <f t="shared" si="36"/>
        <v>191948.73</v>
      </c>
      <c r="I525" s="81">
        <f t="shared" si="36"/>
        <v>5133.18</v>
      </c>
      <c r="J525" s="81">
        <f t="shared" si="36"/>
        <v>5706.45</v>
      </c>
      <c r="K525" s="81">
        <f t="shared" si="36"/>
        <v>0</v>
      </c>
      <c r="L525" s="70">
        <f t="shared" si="36"/>
        <v>1187851.6399999999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9681.7099999999991</v>
      </c>
      <c r="G527" s="18">
        <v>4844.5600000000004</v>
      </c>
      <c r="H527" s="18">
        <v>180393.88</v>
      </c>
      <c r="I527" s="18">
        <v>156.21</v>
      </c>
      <c r="J527" s="18"/>
      <c r="K527" s="18"/>
      <c r="L527" s="69">
        <f>SUM(F527:K527)</f>
        <v>195076.36</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9681.7099999999991</v>
      </c>
      <c r="G530" s="70">
        <f t="shared" ref="G530:L530" si="37">SUM(G527:G529)</f>
        <v>4844.5600000000004</v>
      </c>
      <c r="H530" s="70">
        <f t="shared" si="37"/>
        <v>180393.88</v>
      </c>
      <c r="I530" s="70">
        <f t="shared" si="37"/>
        <v>156.21</v>
      </c>
      <c r="J530" s="70">
        <f t="shared" si="37"/>
        <v>0</v>
      </c>
      <c r="K530" s="70">
        <f t="shared" si="37"/>
        <v>0</v>
      </c>
      <c r="L530" s="70">
        <f t="shared" si="37"/>
        <v>195076.36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16641.71</v>
      </c>
      <c r="G532" s="18">
        <v>10073.709999999999</v>
      </c>
      <c r="H532" s="18"/>
      <c r="I532" s="18"/>
      <c r="J532" s="18"/>
      <c r="K532" s="18"/>
      <c r="L532" s="69">
        <f>SUM(F532:K532)</f>
        <v>26715.42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16641.71</v>
      </c>
      <c r="G535" s="70">
        <f t="shared" ref="G535:L535" si="38">SUM(G532:G534)</f>
        <v>10073.709999999999</v>
      </c>
      <c r="H535" s="70">
        <f t="shared" si="38"/>
        <v>0</v>
      </c>
      <c r="I535" s="70">
        <f t="shared" si="38"/>
        <v>0</v>
      </c>
      <c r="J535" s="70">
        <f t="shared" si="38"/>
        <v>0</v>
      </c>
      <c r="K535" s="70">
        <f t="shared" si="38"/>
        <v>0</v>
      </c>
      <c r="L535" s="70">
        <f t="shared" si="38"/>
        <v>26715.42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52200</v>
      </c>
      <c r="I542" s="18"/>
      <c r="J542" s="18"/>
      <c r="K542" s="18"/>
      <c r="L542" s="69">
        <f>SUM(F542:K542)</f>
        <v>52200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52200</v>
      </c>
      <c r="I545" s="140">
        <f t="shared" si="40"/>
        <v>0</v>
      </c>
      <c r="J545" s="140">
        <f t="shared" si="40"/>
        <v>0</v>
      </c>
      <c r="K545" s="140">
        <f t="shared" si="40"/>
        <v>0</v>
      </c>
      <c r="L545" s="140">
        <f t="shared" si="40"/>
        <v>52200</v>
      </c>
      <c r="M545" s="8"/>
      <c r="N545" s="164"/>
    </row>
    <row r="546" spans="1:14" s="3" customFormat="1" ht="12.2" customHeight="1" thickTop="1" x14ac:dyDescent="0.15">
      <c r="A546" s="75" t="s">
        <v>72</v>
      </c>
      <c r="B546" s="41">
        <v>21</v>
      </c>
      <c r="C546" s="41">
        <v>21</v>
      </c>
      <c r="D546" s="115" t="s">
        <v>432</v>
      </c>
      <c r="E546" s="41"/>
      <c r="F546" s="70">
        <f>F525+F530+F535+F540+F545</f>
        <v>686315.15999999992</v>
      </c>
      <c r="G546" s="70">
        <f t="shared" ref="G546:L546" si="41">G525+G530+G535+G540+G545</f>
        <v>339989.81</v>
      </c>
      <c r="H546" s="70">
        <f t="shared" si="41"/>
        <v>424542.61</v>
      </c>
      <c r="I546" s="70">
        <f t="shared" si="41"/>
        <v>5289.39</v>
      </c>
      <c r="J546" s="70">
        <f t="shared" si="41"/>
        <v>5706.45</v>
      </c>
      <c r="K546" s="70">
        <f t="shared" si="41"/>
        <v>0</v>
      </c>
      <c r="L546" s="70">
        <f t="shared" si="41"/>
        <v>1461843.42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1187851.6399999999</v>
      </c>
      <c r="G550" s="69">
        <f>L527</f>
        <v>195076.36</v>
      </c>
      <c r="H550" s="69">
        <f>L532</f>
        <v>26715.42</v>
      </c>
      <c r="I550" s="69">
        <f>L537</f>
        <v>0</v>
      </c>
      <c r="J550" s="69">
        <f>L542</f>
        <v>52200</v>
      </c>
      <c r="K550" s="69">
        <f>SUM(F550:J550)</f>
        <v>1461843.42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1187851.6399999999</v>
      </c>
      <c r="G553" s="70">
        <f t="shared" si="42"/>
        <v>195076.36</v>
      </c>
      <c r="H553" s="70">
        <f t="shared" si="42"/>
        <v>26715.42</v>
      </c>
      <c r="I553" s="70">
        <f t="shared" si="42"/>
        <v>0</v>
      </c>
      <c r="J553" s="70">
        <f t="shared" si="42"/>
        <v>52200</v>
      </c>
      <c r="K553" s="70">
        <f t="shared" si="42"/>
        <v>1461843.42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65741.64</v>
      </c>
      <c r="G580" s="18"/>
      <c r="H580" s="18"/>
      <c r="I580" s="69">
        <f t="shared" si="47"/>
        <v>65741.64</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58717</v>
      </c>
      <c r="G583" s="18"/>
      <c r="H583" s="18"/>
      <c r="I583" s="69">
        <f t="shared" si="47"/>
        <v>58717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124458.64</v>
      </c>
      <c r="G589" s="79">
        <f t="shared" ref="G589:I589" si="48">SUM(G576:G588)</f>
        <v>0</v>
      </c>
      <c r="H589" s="79">
        <f t="shared" si="48"/>
        <v>0</v>
      </c>
      <c r="I589" s="79">
        <f t="shared" si="48"/>
        <v>124458.64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152680.88</v>
      </c>
      <c r="I592" s="18"/>
      <c r="J592" s="18"/>
      <c r="K592" s="80">
        <f t="shared" ref="K592:K598" si="49">SUM(H592:J592)</f>
        <v>152680.88</v>
      </c>
      <c r="L592" s="23" t="s">
        <v>288</v>
      </c>
      <c r="M592" s="8"/>
      <c r="N592" s="164"/>
    </row>
    <row r="593" spans="1:14" s="3" customFormat="1" ht="12.2" customHeight="1" x14ac:dyDescent="0.15">
      <c r="A593" s="3" t="s">
        <v>638</v>
      </c>
      <c r="B593" s="22">
        <v>23</v>
      </c>
      <c r="C593" s="22">
        <v>2</v>
      </c>
      <c r="D593" s="2" t="s">
        <v>432</v>
      </c>
      <c r="E593" s="22"/>
      <c r="F593" s="78">
        <v>2722</v>
      </c>
      <c r="G593" s="79" t="s">
        <v>97</v>
      </c>
      <c r="H593" s="18">
        <v>52200</v>
      </c>
      <c r="I593" s="18"/>
      <c r="J593" s="18"/>
      <c r="K593" s="80">
        <f t="shared" si="49"/>
        <v>52200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5095.2700000000004</v>
      </c>
      <c r="I595" s="18"/>
      <c r="J595" s="18"/>
      <c r="K595" s="80">
        <f t="shared" si="49"/>
        <v>5095.2700000000004</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14600.22</v>
      </c>
      <c r="I596" s="18"/>
      <c r="J596" s="18"/>
      <c r="K596" s="80">
        <f t="shared" si="49"/>
        <v>14600.22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224576.37</v>
      </c>
      <c r="I599" s="81">
        <f>SUM(I592:I598)</f>
        <v>0</v>
      </c>
      <c r="J599" s="81">
        <f>SUM(J592:J598)</f>
        <v>0</v>
      </c>
      <c r="K599" s="81">
        <f>SUM(K592:K598)</f>
        <v>224576.37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81857.33</v>
      </c>
      <c r="I605" s="18"/>
      <c r="J605" s="18"/>
      <c r="K605" s="80">
        <f>SUM(H605:J605)</f>
        <v>81857.33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81857.33</v>
      </c>
      <c r="I606" s="81">
        <f>SUM(I603:I605)</f>
        <v>0</v>
      </c>
      <c r="J606" s="81">
        <f>SUM(J603:J605)</f>
        <v>0</v>
      </c>
      <c r="K606" s="81">
        <f>SUM(K603:K605)</f>
        <v>81857.33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271745.52</v>
      </c>
      <c r="H618" s="80">
        <f>SUM(F52)</f>
        <v>271745.52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1010.010000000002</v>
      </c>
      <c r="H619" s="80">
        <f>SUM(G52)</f>
        <v>1010.01</v>
      </c>
      <c r="I619" s="87" t="s">
        <v>872</v>
      </c>
      <c r="J619" s="80">
        <f>G619-H619</f>
        <v>2.0463630789890885E-12</v>
      </c>
      <c r="K619" s="80"/>
      <c r="L619" s="80"/>
      <c r="M619" s="8"/>
    </row>
    <row r="620" spans="1:14" s="3" customFormat="1" ht="12.2" customHeight="1" x14ac:dyDescent="0.15">
      <c r="A620" s="74"/>
      <c r="B620" s="22"/>
      <c r="C620" s="22"/>
      <c r="D620" s="22"/>
      <c r="E620" s="22"/>
      <c r="F620" s="87" t="s">
        <v>685</v>
      </c>
      <c r="G620" s="80">
        <f>SUM(H19)</f>
        <v>1826.9999999999782</v>
      </c>
      <c r="H620" s="80">
        <f>SUM(H52)</f>
        <v>1827</v>
      </c>
      <c r="I620" s="87" t="s">
        <v>873</v>
      </c>
      <c r="J620" s="80">
        <f>G620-H620</f>
        <v>-2.1827872842550278E-11</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1143.94</v>
      </c>
      <c r="H622" s="80">
        <f>SUM(J52)</f>
        <v>1143.94</v>
      </c>
      <c r="I622" s="87" t="s">
        <v>875</v>
      </c>
      <c r="J622" s="80">
        <f>G622-H622</f>
        <v>0</v>
      </c>
      <c r="K622" s="80"/>
      <c r="L622" s="80"/>
      <c r="M622" s="8"/>
    </row>
    <row r="623" spans="1:14" s="3" customFormat="1" ht="12.2" customHeight="1" x14ac:dyDescent="0.15">
      <c r="A623" s="74"/>
      <c r="B623" s="22"/>
      <c r="C623" s="22"/>
      <c r="D623" s="22"/>
      <c r="E623" s="22"/>
      <c r="F623" s="87" t="s">
        <v>861</v>
      </c>
      <c r="G623" s="80">
        <f>F51</f>
        <v>247516.19</v>
      </c>
      <c r="H623" s="80">
        <f>F477</f>
        <v>247516.19000000041</v>
      </c>
      <c r="I623" s="87" t="s">
        <v>101</v>
      </c>
      <c r="J623" s="80">
        <f t="shared" ref="J623:J656" si="51">G623-H623</f>
        <v>-4.0745362639427185E-10</v>
      </c>
      <c r="K623" s="80"/>
      <c r="L623" s="80"/>
      <c r="M623" s="8"/>
    </row>
    <row r="624" spans="1:14" s="3" customFormat="1" ht="12.2" customHeight="1" x14ac:dyDescent="0.15">
      <c r="A624" s="74"/>
      <c r="B624" s="22"/>
      <c r="C624" s="85"/>
      <c r="D624" s="85"/>
      <c r="E624" s="85"/>
      <c r="F624" s="85" t="s">
        <v>862</v>
      </c>
      <c r="G624" s="80">
        <f>G51</f>
        <v>629.19000000000005</v>
      </c>
      <c r="H624" s="80">
        <f>G477</f>
        <v>629.19000000000233</v>
      </c>
      <c r="I624" s="87" t="s">
        <v>102</v>
      </c>
      <c r="J624" s="80">
        <f t="shared" si="51"/>
        <v>-2.2737367544323206E-12</v>
      </c>
      <c r="K624" s="80"/>
      <c r="L624" s="80"/>
      <c r="M624" s="8"/>
    </row>
    <row r="625" spans="1:13" s="3" customFormat="1" ht="12.2" customHeight="1" x14ac:dyDescent="0.15">
      <c r="A625" s="74"/>
      <c r="B625" s="22"/>
      <c r="C625" s="22"/>
      <c r="D625" s="22"/>
      <c r="E625" s="22"/>
      <c r="F625" s="86" t="s">
        <v>863</v>
      </c>
      <c r="G625" s="80">
        <f>H51</f>
        <v>-603.58000000000004</v>
      </c>
      <c r="H625" s="80">
        <f>H477</f>
        <v>-603.57999999995809</v>
      </c>
      <c r="I625" s="87" t="s">
        <v>103</v>
      </c>
      <c r="J625" s="80">
        <f t="shared" si="51"/>
        <v>-4.1950443119276315E-11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1143.94</v>
      </c>
      <c r="H627" s="80">
        <f>J477</f>
        <v>1143.94</v>
      </c>
      <c r="I627" s="87" t="s">
        <v>105</v>
      </c>
      <c r="J627" s="80">
        <f t="shared" si="51"/>
        <v>0</v>
      </c>
      <c r="K627" s="67"/>
      <c r="L627" s="69"/>
      <c r="M627" s="8"/>
    </row>
    <row r="628" spans="1:13" s="3" customFormat="1" ht="12.2" customHeight="1" x14ac:dyDescent="0.15">
      <c r="A628" s="21"/>
      <c r="B628" s="22"/>
      <c r="C628" s="22"/>
      <c r="D628" s="22"/>
      <c r="E628" s="22"/>
      <c r="F628" s="86" t="s">
        <v>658</v>
      </c>
      <c r="G628" s="80">
        <f>F194</f>
        <v>5545389.1699999999</v>
      </c>
      <c r="H628" s="80">
        <f>SUM(F469)</f>
        <v>5545389.1699999999</v>
      </c>
      <c r="I628" s="87" t="s">
        <v>106</v>
      </c>
      <c r="J628" s="80">
        <f>G628-H628</f>
        <v>0</v>
      </c>
      <c r="K628" s="67"/>
      <c r="L628" s="69"/>
      <c r="M628" s="8"/>
    </row>
    <row r="629" spans="1:13" s="3" customFormat="1" ht="12.2" customHeight="1" x14ac:dyDescent="0.15">
      <c r="A629" s="21"/>
      <c r="B629" s="22"/>
      <c r="C629" s="22"/>
      <c r="D629" s="22"/>
      <c r="E629" s="22"/>
      <c r="F629" s="86" t="s">
        <v>659</v>
      </c>
      <c r="G629" s="80">
        <f>G194</f>
        <v>86762.880000000005</v>
      </c>
      <c r="H629" s="80">
        <f>SUM(G469)</f>
        <v>86762.880000000005</v>
      </c>
      <c r="I629" s="87" t="s">
        <v>107</v>
      </c>
      <c r="J629" s="80">
        <f>G629-H629</f>
        <v>0</v>
      </c>
      <c r="K629" s="67"/>
      <c r="L629" s="69"/>
      <c r="M629" s="8"/>
    </row>
    <row r="630" spans="1:13" s="3" customFormat="1" ht="12.2" customHeight="1" x14ac:dyDescent="0.15">
      <c r="A630" s="21"/>
      <c r="B630" s="22"/>
      <c r="C630" s="22"/>
      <c r="D630" s="22"/>
      <c r="E630" s="22"/>
      <c r="F630" s="86" t="s">
        <v>660</v>
      </c>
      <c r="G630" s="80">
        <f>H194</f>
        <v>575981.17999999993</v>
      </c>
      <c r="H630" s="80">
        <f>SUM(H469)</f>
        <v>575981.18000000005</v>
      </c>
      <c r="I630" s="87" t="s">
        <v>108</v>
      </c>
      <c r="J630" s="80">
        <f>G630-H630</f>
        <v>0</v>
      </c>
      <c r="K630" s="67"/>
      <c r="L630" s="69"/>
      <c r="M630" s="8"/>
    </row>
    <row r="631" spans="1:13" s="3" customFormat="1" ht="12.2" customHeight="1" x14ac:dyDescent="0.15">
      <c r="A631" s="21"/>
      <c r="B631" s="22"/>
      <c r="C631" s="22"/>
      <c r="D631" s="22"/>
      <c r="E631" s="22"/>
      <c r="F631" s="86" t="s">
        <v>661</v>
      </c>
      <c r="G631" s="80">
        <f>I194</f>
        <v>844741.54</v>
      </c>
      <c r="H631" s="80">
        <f>SUM(I469)</f>
        <v>844741.54</v>
      </c>
      <c r="I631" s="87" t="s">
        <v>109</v>
      </c>
      <c r="J631" s="80">
        <f>G631-H631</f>
        <v>0</v>
      </c>
      <c r="K631" s="67"/>
      <c r="L631" s="69"/>
      <c r="M631" s="8"/>
    </row>
    <row r="632" spans="1:13" s="3" customFormat="1" ht="12.2" customHeight="1" x14ac:dyDescent="0.15">
      <c r="A632" s="21"/>
      <c r="B632" s="22"/>
      <c r="C632" s="22"/>
      <c r="D632" s="22"/>
      <c r="E632" s="22"/>
      <c r="F632" s="86" t="s">
        <v>662</v>
      </c>
      <c r="G632" s="80">
        <f>J194</f>
        <v>17.27</v>
      </c>
      <c r="H632" s="80">
        <f>SUM(J469)</f>
        <v>17.27</v>
      </c>
      <c r="I632" s="87" t="s">
        <v>110</v>
      </c>
      <c r="J632" s="80">
        <f>G632-H632</f>
        <v>0</v>
      </c>
      <c r="K632" s="67"/>
      <c r="L632" s="69"/>
      <c r="M632" s="8"/>
    </row>
    <row r="633" spans="1:13" s="3" customFormat="1" ht="12.2" customHeight="1" x14ac:dyDescent="0.15">
      <c r="A633" s="21"/>
      <c r="B633" s="22"/>
      <c r="C633" s="22"/>
      <c r="D633" s="22"/>
      <c r="E633" s="22"/>
      <c r="F633" s="86" t="s">
        <v>394</v>
      </c>
      <c r="G633" s="80">
        <f>SUM(L272)</f>
        <v>5626276.46</v>
      </c>
      <c r="H633" s="80">
        <f>SUM(F473)</f>
        <v>5626276.46</v>
      </c>
      <c r="I633" s="87" t="s">
        <v>111</v>
      </c>
      <c r="J633" s="80">
        <f t="shared" si="51"/>
        <v>0</v>
      </c>
      <c r="K633" s="67"/>
      <c r="L633" s="69"/>
      <c r="M633" s="8"/>
    </row>
    <row r="634" spans="1:13" s="3" customFormat="1" ht="12.2" customHeight="1" x14ac:dyDescent="0.15">
      <c r="A634" s="21"/>
      <c r="B634" s="22"/>
      <c r="C634" s="22"/>
      <c r="D634" s="22"/>
      <c r="E634" s="22"/>
      <c r="F634" s="86" t="s">
        <v>395</v>
      </c>
      <c r="G634" s="80">
        <f>SUM(L353)</f>
        <v>576737.74</v>
      </c>
      <c r="H634" s="80">
        <f>SUM(H473)</f>
        <v>576737.74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99980.47</v>
      </c>
      <c r="H636" s="80">
        <f>SUM(G473)</f>
        <v>99980.47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844741.54</v>
      </c>
      <c r="H637" s="80">
        <f>SUM(I473)</f>
        <v>844741.54</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17.27</v>
      </c>
      <c r="H638" s="108">
        <f>SUM(J469)</f>
        <v>17.27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1143.94</v>
      </c>
      <c r="H640" s="80">
        <f>SUM(F462)</f>
        <v>1143.94</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1143.94</v>
      </c>
      <c r="H643" s="80">
        <f>SUM(I462)</f>
        <v>1143.94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17.27</v>
      </c>
      <c r="H645" s="80">
        <f>H409</f>
        <v>17.27</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17.27</v>
      </c>
      <c r="H647" s="80">
        <f>L409</f>
        <v>17.27</v>
      </c>
      <c r="I647" s="87" t="s">
        <v>477</v>
      </c>
      <c r="J647" s="80">
        <f t="shared" si="51"/>
        <v>0</v>
      </c>
      <c r="K647" s="67"/>
      <c r="L647" s="69"/>
      <c r="M647" s="8"/>
    </row>
    <row r="648" spans="1:13" s="3" customFormat="1" ht="12.2" customHeight="1" x14ac:dyDescent="0.15">
      <c r="A648" s="21"/>
      <c r="B648" s="22"/>
      <c r="C648" s="22"/>
      <c r="D648" s="22"/>
      <c r="E648" s="22"/>
      <c r="F648" s="86" t="s">
        <v>51</v>
      </c>
      <c r="G648" s="80">
        <f>K599</f>
        <v>224576.37</v>
      </c>
      <c r="H648" s="80">
        <f>L209+L227+L245</f>
        <v>224576.37</v>
      </c>
      <c r="I648" s="87" t="s">
        <v>396</v>
      </c>
      <c r="J648" s="80">
        <f t="shared" si="51"/>
        <v>0</v>
      </c>
      <c r="K648" s="67"/>
      <c r="L648" s="69"/>
      <c r="M648" s="8"/>
    </row>
    <row r="649" spans="1:13" s="3" customFormat="1" ht="12.2" customHeight="1" x14ac:dyDescent="0.15">
      <c r="A649" s="21"/>
      <c r="B649" s="22"/>
      <c r="C649" s="22"/>
      <c r="D649" s="22"/>
      <c r="E649" s="22"/>
      <c r="F649" s="86" t="s">
        <v>52</v>
      </c>
      <c r="G649" s="80">
        <f>K606</f>
        <v>81857.33</v>
      </c>
      <c r="H649" s="80">
        <f>(J258+J339)-(J256+J337)</f>
        <v>81857.33</v>
      </c>
      <c r="I649" s="87" t="s">
        <v>699</v>
      </c>
      <c r="J649" s="80">
        <f t="shared" si="51"/>
        <v>0</v>
      </c>
      <c r="K649" s="67"/>
      <c r="L649" s="69"/>
      <c r="M649" s="8"/>
    </row>
    <row r="650" spans="1:13" s="3" customFormat="1" ht="12.2" customHeight="1" x14ac:dyDescent="0.15">
      <c r="A650" s="21"/>
      <c r="B650" s="22"/>
      <c r="C650" s="22"/>
      <c r="D650" s="22"/>
      <c r="E650" s="22"/>
      <c r="F650" s="86" t="s">
        <v>387</v>
      </c>
      <c r="G650" s="80">
        <f>L209</f>
        <v>224576.37</v>
      </c>
      <c r="H650" s="80">
        <f>H599</f>
        <v>224576.37</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20000</v>
      </c>
      <c r="H653" s="80">
        <f>K264+K346</f>
        <v>20000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350000</v>
      </c>
      <c r="H655" s="80">
        <f>K266+K347</f>
        <v>350000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5927169.6699999999</v>
      </c>
      <c r="G661" s="13">
        <f>(L230+L310+L360)</f>
        <v>0</v>
      </c>
      <c r="H661" s="13">
        <f>(L248+L329+L361)</f>
        <v>0</v>
      </c>
      <c r="I661" s="13">
        <f>SUM(F661:H661)</f>
        <v>5927169.6699999999</v>
      </c>
      <c r="J661" s="13"/>
      <c r="K661" s="13"/>
      <c r="L661" s="13"/>
      <c r="M661" s="9"/>
    </row>
    <row r="662" spans="1:13" s="3" customFormat="1" ht="12.2" customHeight="1" x14ac:dyDescent="0.2">
      <c r="A662" s="1" t="s">
        <v>127</v>
      </c>
      <c r="F662" s="13">
        <f>(L359/IF(SUM(L359:L361)=0,1,SUM(L359:L361))*(SUM(G97:G110)))</f>
        <v>36576.370000000003</v>
      </c>
      <c r="G662" s="13">
        <f>(L360/IF(SUM(L359:L361)=0,1,SUM(L359:L361))*(SUM(G97:G110)))</f>
        <v>0</v>
      </c>
      <c r="H662" s="13">
        <f>(L361/IF(SUM(L359:L361)=0,1,SUM(L359:L361))*(SUM(G97:G110)))</f>
        <v>0</v>
      </c>
      <c r="I662" s="13">
        <f>SUM(F662:H662)</f>
        <v>36576.370000000003</v>
      </c>
      <c r="J662"/>
      <c r="K662" s="13"/>
      <c r="L662" s="13"/>
      <c r="M662" s="8"/>
    </row>
    <row r="663" spans="1:13" s="3" customFormat="1" ht="12.2" customHeight="1" x14ac:dyDescent="0.2">
      <c r="A663" s="1" t="s">
        <v>128</v>
      </c>
      <c r="F663" s="13">
        <f>(L209+L288)-(J209+J288)</f>
        <v>224576.37</v>
      </c>
      <c r="G663" s="13">
        <f>(L227+L307)-(J227+J307)</f>
        <v>0</v>
      </c>
      <c r="H663" s="13">
        <f>(L245+L326)-(J245+J326)</f>
        <v>0</v>
      </c>
      <c r="I663" s="13">
        <f>SUM(F663:H663)</f>
        <v>224576.37</v>
      </c>
      <c r="J663"/>
      <c r="K663" s="13"/>
      <c r="L663" s="13"/>
      <c r="M663" s="9"/>
    </row>
    <row r="664" spans="1:13" s="3" customFormat="1" ht="12.2" customHeight="1" x14ac:dyDescent="0.15">
      <c r="A664" s="141" t="s">
        <v>129</v>
      </c>
      <c r="B664" s="124"/>
      <c r="C664" s="124"/>
      <c r="D664" s="124"/>
      <c r="E664" s="124"/>
      <c r="F664" s="142">
        <f>SUM(F576:F588)+SUM(H603:H605)+SUM(L612)</f>
        <v>206315.97</v>
      </c>
      <c r="G664" s="142">
        <f>SUM(G576:G588)+SUM(I603:I605)+L613</f>
        <v>0</v>
      </c>
      <c r="H664" s="142">
        <f>SUM(H576:H588)+SUM(J603:J605)+L614</f>
        <v>0</v>
      </c>
      <c r="I664" s="13">
        <f>SUM(F664:H664)</f>
        <v>206315.97</v>
      </c>
      <c r="J664" s="13"/>
      <c r="K664" s="13"/>
      <c r="L664" s="13"/>
      <c r="M664" s="9"/>
    </row>
    <row r="665" spans="1:13" s="3" customFormat="1" ht="12.2" customHeight="1" x14ac:dyDescent="0.15">
      <c r="A665" s="1" t="s">
        <v>130</v>
      </c>
      <c r="F665" s="13">
        <f>F661-SUM(F662:F664)</f>
        <v>5459700.96</v>
      </c>
      <c r="G665" s="13">
        <f>G661-SUM(G662:G664)</f>
        <v>0</v>
      </c>
      <c r="H665" s="13">
        <f>H661-SUM(H662:H664)</f>
        <v>0</v>
      </c>
      <c r="I665" s="13">
        <f>I661-SUM(I662:I664)</f>
        <v>5459700.96</v>
      </c>
      <c r="J665" s="13"/>
      <c r="K665" s="13"/>
      <c r="L665" s="13"/>
      <c r="M665" s="8"/>
    </row>
    <row r="666" spans="1:13" s="3" customFormat="1" ht="12.2" customHeight="1" x14ac:dyDescent="0.2">
      <c r="A666" s="1" t="s">
        <v>131</v>
      </c>
      <c r="F666" s="182">
        <v>174.16</v>
      </c>
      <c r="G666" s="183"/>
      <c r="H666" s="183"/>
      <c r="I666" s="13">
        <f>SUM(F666:H666)</f>
        <v>174.16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31348.77</v>
      </c>
      <c r="G668" s="13" t="e">
        <f>ROUND(G665/G666,2)</f>
        <v>#DIV/0!</v>
      </c>
      <c r="H668" s="13" t="e">
        <f>ROUND(H665/H666,2)</f>
        <v>#DIV/0!</v>
      </c>
      <c r="I668" s="13">
        <f>ROUND(I665/I666,2)</f>
        <v>31348.77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31348.77</v>
      </c>
      <c r="G673" s="13" t="e">
        <f>ROUND((G665+G670)/(G666+G671),2)</f>
        <v>#DIV/0!</v>
      </c>
      <c r="H673" s="13" t="e">
        <f>ROUND((H665+H670)/(H666+H671),2)</f>
        <v>#DIV/0!</v>
      </c>
      <c r="I673" s="13">
        <f>ROUND((I665+I670)/(I666+I671),2)</f>
        <v>31348.77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20342.54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9190.08+1651.46-499</f>
        <v>10342.540000000001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10000</f>
        <v>10000</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f>715.16+3554.64+10954.74</f>
        <v>15224.54</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Thornton</v>
      </c>
      <c r="C5" s="321"/>
      <c r="D5" s="321"/>
      <c r="E5" s="321"/>
      <c r="F5" s="321"/>
    </row>
    <row r="8" spans="1:9" ht="18" x14ac:dyDescent="0.25">
      <c r="A8" s="239" t="s">
        <v>1548</v>
      </c>
      <c r="F8" s="246" t="s">
        <v>1566</v>
      </c>
    </row>
    <row r="9" spans="1:9" ht="15" x14ac:dyDescent="0.2">
      <c r="A9" s="237" t="s">
        <v>1549</v>
      </c>
      <c r="B9" s="240">
        <f>'DOE25'!G97</f>
        <v>36576.370000000003</v>
      </c>
      <c r="F9" s="237" t="s">
        <v>1562</v>
      </c>
    </row>
    <row r="10" spans="1:9" ht="15" x14ac:dyDescent="0.2">
      <c r="A10" s="237" t="s">
        <v>1550</v>
      </c>
      <c r="B10" s="240">
        <f>'DOE25'!G112-'DOE25'!G97</f>
        <v>0</v>
      </c>
      <c r="F10" s="237" t="s">
        <v>1563</v>
      </c>
    </row>
    <row r="11" spans="1:9" ht="15" x14ac:dyDescent="0.2">
      <c r="A11" s="237" t="s">
        <v>1551</v>
      </c>
      <c r="B11" s="240">
        <f>'DOE25'!G140</f>
        <v>688.96</v>
      </c>
      <c r="F11" s="237" t="s">
        <v>1564</v>
      </c>
    </row>
    <row r="12" spans="1:9" ht="15" x14ac:dyDescent="0.2">
      <c r="A12" s="237" t="s">
        <v>1552</v>
      </c>
      <c r="B12" s="240">
        <f>'DOE25'!G170</f>
        <v>29497.55</v>
      </c>
      <c r="F12" s="237" t="s">
        <v>1565</v>
      </c>
    </row>
    <row r="13" spans="1:9" ht="15" x14ac:dyDescent="0.2">
      <c r="A13" s="237" t="s">
        <v>1553</v>
      </c>
      <c r="B13" s="240">
        <f>'DOE25'!G193-'DOE25'!G180</f>
        <v>0</v>
      </c>
      <c r="F13" s="237" t="s">
        <v>1575</v>
      </c>
    </row>
    <row r="14" spans="1:9" ht="18" x14ac:dyDescent="0.25">
      <c r="A14" s="239" t="s">
        <v>732</v>
      </c>
      <c r="B14" s="241">
        <f>SUM(B9:B13)</f>
        <v>66762.880000000005</v>
      </c>
    </row>
    <row r="16" spans="1:9" ht="18" x14ac:dyDescent="0.25">
      <c r="A16" s="239" t="s">
        <v>783</v>
      </c>
      <c r="F16" s="246" t="s">
        <v>1567</v>
      </c>
    </row>
    <row r="17" spans="1:6" ht="15" x14ac:dyDescent="0.2">
      <c r="A17" s="237" t="s">
        <v>1554</v>
      </c>
      <c r="B17" s="240">
        <f>'DOE25'!L363-'DOE25'!L362</f>
        <v>99980.47</v>
      </c>
      <c r="F17" s="237" t="s">
        <v>1568</v>
      </c>
    </row>
    <row r="18" spans="1:6" ht="15" x14ac:dyDescent="0.2">
      <c r="A18" s="237" t="s">
        <v>1555</v>
      </c>
      <c r="B18" s="250"/>
      <c r="F18" s="246" t="s">
        <v>1592</v>
      </c>
    </row>
    <row r="19" spans="1:6" ht="18" x14ac:dyDescent="0.25">
      <c r="A19" s="239" t="s">
        <v>725</v>
      </c>
      <c r="B19" s="241">
        <f>SUM(B17:B18)</f>
        <v>99980.47</v>
      </c>
    </row>
    <row r="21" spans="1:6" ht="18.75" thickBot="1" x14ac:dyDescent="0.3">
      <c r="A21" s="239" t="s">
        <v>1556</v>
      </c>
    </row>
    <row r="22" spans="1:6" ht="18.75" thickTop="1" x14ac:dyDescent="0.25">
      <c r="A22" s="239" t="s">
        <v>1557</v>
      </c>
      <c r="B22" s="245">
        <f>B14-B19</f>
        <v>-33217.589999999997</v>
      </c>
      <c r="F22" s="237" t="s">
        <v>1569</v>
      </c>
    </row>
    <row r="26" spans="1:6" ht="18" x14ac:dyDescent="0.25">
      <c r="A26" s="239" t="s">
        <v>186</v>
      </c>
    </row>
    <row r="27" spans="1:6" ht="15" x14ac:dyDescent="0.2">
      <c r="A27" s="237" t="s">
        <v>1558</v>
      </c>
      <c r="B27" s="240">
        <f>'DOE25'!G180</f>
        <v>20000</v>
      </c>
      <c r="F27" s="237" t="s">
        <v>1570</v>
      </c>
    </row>
    <row r="28" spans="1:6" ht="15" x14ac:dyDescent="0.2">
      <c r="A28" s="237" t="s">
        <v>1560</v>
      </c>
      <c r="B28" s="240">
        <f>'DOE25'!L362</f>
        <v>0</v>
      </c>
      <c r="F28" s="237" t="s">
        <v>1571</v>
      </c>
    </row>
    <row r="31" spans="1:6" ht="15" x14ac:dyDescent="0.2">
      <c r="A31" s="237" t="s">
        <v>1789</v>
      </c>
      <c r="B31" s="240">
        <f>'DOE25'!G466</f>
        <v>13846.78</v>
      </c>
      <c r="F31" s="237" t="s">
        <v>1572</v>
      </c>
    </row>
    <row r="33" spans="1:6" ht="15" x14ac:dyDescent="0.2">
      <c r="A33" s="237" t="s">
        <v>1790</v>
      </c>
      <c r="B33" s="240">
        <f>'DOE25'!G477</f>
        <v>629.19000000000233</v>
      </c>
      <c r="F33" s="237" t="s">
        <v>1573</v>
      </c>
    </row>
    <row r="36" spans="1:6" ht="15" x14ac:dyDescent="0.2">
      <c r="A36" s="237" t="s">
        <v>1559</v>
      </c>
      <c r="B36" s="251">
        <v>5866.54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9" sqref="B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Thornton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1506537.5799999998</v>
      </c>
      <c r="C9" s="166">
        <f>'DOE25'!G198+'DOE25'!G216+'DOE25'!G234+'DOE25'!G277+'DOE25'!G296+'DOE25'!G315</f>
        <v>890863.35</v>
      </c>
    </row>
    <row r="10" spans="1:3" x14ac:dyDescent="0.2">
      <c r="A10" t="s">
        <v>772</v>
      </c>
      <c r="B10" s="176">
        <v>1460653.36</v>
      </c>
      <c r="C10" s="176">
        <v>886530.1</v>
      </c>
    </row>
    <row r="11" spans="1:3" x14ac:dyDescent="0.2">
      <c r="A11" t="s">
        <v>773</v>
      </c>
      <c r="B11" s="176">
        <v>10188.36</v>
      </c>
      <c r="C11" s="176">
        <v>1617.26</v>
      </c>
    </row>
    <row r="12" spans="1:3" x14ac:dyDescent="0.2">
      <c r="A12" t="s">
        <v>774</v>
      </c>
      <c r="B12" s="176">
        <v>35695.86</v>
      </c>
      <c r="C12" s="176">
        <v>2715.99</v>
      </c>
    </row>
    <row r="13" spans="1:3" x14ac:dyDescent="0.2">
      <c r="A13" t="str">
        <f>IF(B9=B13,IF(C9=C13,"Check Total OK","Check Total Error"),"Check Total Error")</f>
        <v>Check Total OK</v>
      </c>
      <c r="B13" s="168">
        <f>SUM(B10:B12)</f>
        <v>1506537.5800000003</v>
      </c>
      <c r="C13" s="168">
        <f>SUM(C10:C12)</f>
        <v>890863.35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659991.74</v>
      </c>
      <c r="C18" s="166">
        <f>'DOE25'!G199+'DOE25'!G217+'DOE25'!G235+'DOE25'!G278+'DOE25'!G297+'DOE25'!G316</f>
        <v>325071.53999999998</v>
      </c>
    </row>
    <row r="19" spans="1:3" x14ac:dyDescent="0.2">
      <c r="A19" t="s">
        <v>772</v>
      </c>
      <c r="B19" s="176">
        <v>280954.15000000002</v>
      </c>
      <c r="C19" s="176">
        <v>137346.23000000001</v>
      </c>
    </row>
    <row r="20" spans="1:3" x14ac:dyDescent="0.2">
      <c r="A20" t="s">
        <v>773</v>
      </c>
      <c r="B20" s="176">
        <v>361386.79</v>
      </c>
      <c r="C20" s="176">
        <v>183572.94</v>
      </c>
    </row>
    <row r="21" spans="1:3" x14ac:dyDescent="0.2">
      <c r="A21" t="s">
        <v>774</v>
      </c>
      <c r="B21" s="176">
        <v>17650.8</v>
      </c>
      <c r="C21" s="176">
        <v>4152.37</v>
      </c>
    </row>
    <row r="22" spans="1:3" x14ac:dyDescent="0.2">
      <c r="A22" t="str">
        <f>IF(B18=B22,IF(C18=C22,"Check Total OK","Check Total Error"),"Check Total Error")</f>
        <v>Check Total OK</v>
      </c>
      <c r="B22" s="168">
        <f>SUM(B19:B21)</f>
        <v>659991.74</v>
      </c>
      <c r="C22" s="168">
        <f>SUM(C19:C21)</f>
        <v>325071.54000000004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66771.42</v>
      </c>
      <c r="C36" s="172">
        <f>'DOE25'!G201+'DOE25'!G219+'DOE25'!G237+'DOE25'!G280+'DOE25'!G299+'DOE25'!G318</f>
        <v>17993.919999999998</v>
      </c>
    </row>
    <row r="37" spans="1:3" x14ac:dyDescent="0.2">
      <c r="A37" t="s">
        <v>772</v>
      </c>
      <c r="B37" s="176">
        <v>66771.42</v>
      </c>
      <c r="C37" s="176">
        <v>17993.919999999998</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66771.42</v>
      </c>
      <c r="C40" s="168">
        <f>SUM(C37:C39)</f>
        <v>17993.919999999998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Thornton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3682828.4</v>
      </c>
      <c r="D5" s="19">
        <f>SUM('DOE25'!L198:L201)+SUM('DOE25'!L216:L219)+SUM('DOE25'!L234:L237)-F5-G5-H5</f>
        <v>3639529.9299999997</v>
      </c>
      <c r="E5" s="179"/>
      <c r="F5" s="180"/>
      <c r="G5" s="19">
        <f>SUM('DOE25'!J198:J201)+SUM('DOE25'!J216:J219)+SUM('DOE25'!J234:J237)</f>
        <v>37046.18</v>
      </c>
      <c r="H5" s="19">
        <f>SUM('DOE25'!K198:K201)+SUM('DOE25'!K216:K219)+SUM('DOE25'!K234:K237)</f>
        <v>6252.29</v>
      </c>
      <c r="I5" s="191"/>
    </row>
    <row r="6" spans="1:9" x14ac:dyDescent="0.2">
      <c r="A6" s="31">
        <v>2100</v>
      </c>
      <c r="B6" t="s">
        <v>793</v>
      </c>
      <c r="C6" s="205">
        <f t="shared" si="0"/>
        <v>417269.68</v>
      </c>
      <c r="D6" s="19">
        <f>'DOE25'!L203+'DOE25'!L221+'DOE25'!L239-F6-G6-H6</f>
        <v>415537.36</v>
      </c>
      <c r="E6" s="179"/>
      <c r="F6" s="180"/>
      <c r="G6" s="19">
        <f>'DOE25'!J203+'DOE25'!J221+'DOE25'!J239</f>
        <v>0</v>
      </c>
      <c r="H6" s="19">
        <f>'DOE25'!K203+'DOE25'!K221+'DOE25'!K239</f>
        <v>1732.32</v>
      </c>
      <c r="I6" s="191"/>
    </row>
    <row r="7" spans="1:9" x14ac:dyDescent="0.2">
      <c r="A7" s="31">
        <v>2200</v>
      </c>
      <c r="B7" t="s">
        <v>817</v>
      </c>
      <c r="C7" s="205">
        <f t="shared" si="0"/>
        <v>70725.099999999991</v>
      </c>
      <c r="D7" s="19">
        <f>'DOE25'!L204+'DOE25'!L222+'DOE25'!L240-F7-G7-H7</f>
        <v>70725.099999999991</v>
      </c>
      <c r="E7" s="179"/>
      <c r="F7" s="180"/>
      <c r="G7" s="19">
        <f>'DOE25'!J204+'DOE25'!J222+'DOE25'!J240</f>
        <v>0</v>
      </c>
      <c r="H7" s="19">
        <f>'DOE25'!K204+'DOE25'!K222+'DOE25'!K240</f>
        <v>0</v>
      </c>
      <c r="I7" s="191"/>
    </row>
    <row r="8" spans="1:9" x14ac:dyDescent="0.2">
      <c r="A8" s="31">
        <v>2300</v>
      </c>
      <c r="B8" t="s">
        <v>794</v>
      </c>
      <c r="C8" s="205">
        <f t="shared" si="0"/>
        <v>220664.00000000003</v>
      </c>
      <c r="D8" s="179"/>
      <c r="E8" s="19">
        <f>'DOE25'!L205+'DOE25'!L223+'DOE25'!L241-F8-G8-H8-D9-D11</f>
        <v>217293.03000000003</v>
      </c>
      <c r="F8" s="180"/>
      <c r="G8" s="19">
        <f>'DOE25'!J205+'DOE25'!J223+'DOE25'!J241</f>
        <v>0</v>
      </c>
      <c r="H8" s="19">
        <f>'DOE25'!K205+'DOE25'!K223+'DOE25'!K241</f>
        <v>3370.97</v>
      </c>
      <c r="I8" s="191"/>
    </row>
    <row r="9" spans="1:9" ht="14.25" x14ac:dyDescent="0.2">
      <c r="A9" s="31">
        <v>2310</v>
      </c>
      <c r="B9" s="71" t="s">
        <v>884</v>
      </c>
      <c r="C9" s="205">
        <f t="shared" si="0"/>
        <v>33429.39</v>
      </c>
      <c r="D9" s="180">
        <v>33429.39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305405.63999999996</v>
      </c>
      <c r="D12" s="19">
        <f>'DOE25'!L206+'DOE25'!L224+'DOE25'!L242-F12-G12-H12</f>
        <v>304360.13999999996</v>
      </c>
      <c r="E12" s="179"/>
      <c r="F12" s="180"/>
      <c r="G12" s="19">
        <f>'DOE25'!J206+'DOE25'!J224+'DOE25'!J242</f>
        <v>0</v>
      </c>
      <c r="H12" s="19">
        <f>'DOE25'!K206+'DOE25'!K224+'DOE25'!K242</f>
        <v>1045.5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647252.88</v>
      </c>
      <c r="D14" s="19">
        <f>'DOE25'!L208+'DOE25'!L226+'DOE25'!L244-F14-G14-H14</f>
        <v>602441.73</v>
      </c>
      <c r="E14" s="179"/>
      <c r="F14" s="180"/>
      <c r="G14" s="19">
        <f>'DOE25'!J208+'DOE25'!J226+'DOE25'!J244</f>
        <v>44811.15</v>
      </c>
      <c r="H14" s="19">
        <f>'DOE25'!K208+'DOE25'!K226+'DOE25'!K244</f>
        <v>0</v>
      </c>
      <c r="I14" s="191"/>
    </row>
    <row r="15" spans="1:9" x14ac:dyDescent="0.2">
      <c r="A15" s="31">
        <v>2700</v>
      </c>
      <c r="B15" t="s">
        <v>796</v>
      </c>
      <c r="C15" s="205">
        <f t="shared" si="0"/>
        <v>224576.37</v>
      </c>
      <c r="D15" s="19">
        <f>'DOE25'!L209+'DOE25'!L227+'DOE25'!L245-F15-G15-H15</f>
        <v>224576.37</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5825</v>
      </c>
      <c r="D22" s="179"/>
      <c r="E22" s="179"/>
      <c r="F22" s="179"/>
      <c r="G22" s="19">
        <f>'DOE25'!L256+'DOE25'!L337</f>
        <v>5825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75598.64</v>
      </c>
      <c r="D29" s="211">
        <f>'DOE25'!L359+'DOE25'!L360+'DOE25'!L361-'DOE25'!I368-F29-G29-H29-F39</f>
        <v>75598.64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225037.74</v>
      </c>
      <c r="D31" s="19">
        <f>'DOE25'!L291+'DOE25'!L310+'DOE25'!L329+'DOE25'!L334+'DOE25'!L335+'DOE25'!L336-F31-G31-H31</f>
        <v>211017.41</v>
      </c>
      <c r="E31" s="179"/>
      <c r="F31" s="180"/>
      <c r="G31" s="19">
        <f>'DOE25'!J291+'DOE25'!J310+'DOE25'!J329+'DOE25'!J334+'DOE25'!J335+'DOE25'!J336</f>
        <v>0</v>
      </c>
      <c r="H31" s="19">
        <f>'DOE25'!K291+'DOE25'!K310+'DOE25'!K329+'DOE25'!K334+'DOE25'!K335+'DOE25'!K336</f>
        <v>14020.33</v>
      </c>
      <c r="I31" s="191"/>
    </row>
    <row r="32" spans="1:9" ht="12" thickBot="1" x14ac:dyDescent="0.25">
      <c r="C32" s="206"/>
      <c r="G32" s="187"/>
      <c r="H32" s="187"/>
      <c r="I32" s="193"/>
    </row>
    <row r="33" spans="1:9" ht="12" thickTop="1" x14ac:dyDescent="0.2">
      <c r="B33" t="s">
        <v>806</v>
      </c>
      <c r="D33" s="181">
        <f t="shared" ref="D33:I33" si="1">SUM(D5:D31)</f>
        <v>5577216.0700000003</v>
      </c>
      <c r="E33" s="181">
        <f t="shared" si="1"/>
        <v>217293.03000000003</v>
      </c>
      <c r="F33" s="181">
        <f t="shared" si="1"/>
        <v>0</v>
      </c>
      <c r="G33" s="181">
        <f t="shared" si="1"/>
        <v>87682.33</v>
      </c>
      <c r="H33" s="181">
        <f t="shared" si="1"/>
        <v>26421.41</v>
      </c>
      <c r="I33" s="181">
        <f t="shared" si="1"/>
        <v>0</v>
      </c>
    </row>
    <row r="34" spans="1:9" ht="12" thickBot="1" x14ac:dyDescent="0.25"/>
    <row r="35" spans="1:9" ht="12" thickBot="1" x14ac:dyDescent="0.25">
      <c r="B35" s="187" t="s">
        <v>827</v>
      </c>
      <c r="D35" s="188">
        <f>E33</f>
        <v>217293.03000000003</v>
      </c>
      <c r="E35" s="184"/>
      <c r="F35" s="294" t="s">
        <v>1596</v>
      </c>
      <c r="G35" s="295"/>
      <c r="H35" s="295"/>
      <c r="I35" s="296"/>
    </row>
    <row r="36" spans="1:9" ht="12" thickTop="1" x14ac:dyDescent="0.2">
      <c r="B36" t="s">
        <v>807</v>
      </c>
      <c r="D36" s="19">
        <f>D33</f>
        <v>5577216.0700000003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24381.83</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K7" sqref="K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Thornton</v>
      </c>
      <c r="B2">
        <f>'DOE25'!B2</f>
        <v>531</v>
      </c>
      <c r="J2" s="223" t="s">
        <v>1799</v>
      </c>
      <c r="K2" s="308">
        <f>SUM('DOE25'!L198:L201)+SUM('DOE25'!L277:L280)</f>
        <v>3845257.6799999997</v>
      </c>
      <c r="L2" s="308">
        <f>'DOE25'!L203+'DOE25'!L282</f>
        <v>417269.68</v>
      </c>
      <c r="M2" s="308">
        <f>'DOE25'!L204+'DOE25'!L283</f>
        <v>95356.37999999999</v>
      </c>
      <c r="N2" s="308">
        <f>'DOE25'!L206+'DOE25'!L285</f>
        <v>305405.63999999996</v>
      </c>
      <c r="O2" s="316">
        <f>'Salaries-Benefits'!B10+'Salaries-Benefits'!B12+'Salaries-Benefits'!B19+'Salaries-Benefits'!B21+'Salaries-Benefits'!B28+'Salaries-Benefits'!B30+'Salaries-Benefits'!B37+'Salaries-Benefits'!B39</f>
        <v>1861725.59</v>
      </c>
      <c r="P2" s="316">
        <f>'Salaries-Benefits'!B11+'Salaries-Benefits'!B20+'Salaries-Benefits'!B29+'Salaries-Benefits'!B38</f>
        <v>371575.14999999997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5827189.2000000002</v>
      </c>
      <c r="G4" s="228">
        <f>'DOE25'!L212+'DOE25'!L291</f>
        <v>5827189.2000000002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'DOE25'!F589</f>
        <v>124458.64</v>
      </c>
      <c r="E5" s="219"/>
      <c r="F5" s="231">
        <f>D5+E5</f>
        <v>124458.64</v>
      </c>
      <c r="G5" s="222"/>
      <c r="H5" s="222"/>
      <c r="J5" s="71" t="s">
        <v>1840</v>
      </c>
      <c r="K5" s="20">
        <v>124458.64</v>
      </c>
      <c r="L5" s="20"/>
      <c r="M5" s="20"/>
      <c r="N5" s="20"/>
      <c r="O5" s="20"/>
      <c r="P5" s="20"/>
      <c r="Q5" s="20"/>
    </row>
    <row r="6" spans="1:22" x14ac:dyDescent="0.2">
      <c r="A6" t="str" cm="1">
        <f t="array" ref="A6">IFERROR(INDEX('School Tables'!$A$4:$G$365,'School Tables'!$J4,3),"")</f>
        <v>Thornton Central School</v>
      </c>
      <c r="B6" s="229">
        <f>IFERROR(VLOOKUP(A6,'School Tables'!$C$3:$D$365,2,FALSE),"")</f>
        <v>22380</v>
      </c>
      <c r="C6" s="222" t="str">
        <f>IFERROR(INDEX('School Tables'!$B$3:$B$365,MATCH('School Level Expenditures'!B6,'School Tables'!$D$3:$D$365,0)),"")</f>
        <v>Thornton</v>
      </c>
      <c r="D6" s="219">
        <f>5602151.46-124458.64</f>
        <v>5477692.8200000003</v>
      </c>
      <c r="E6" s="219">
        <v>225037.74</v>
      </c>
      <c r="F6" s="231">
        <f t="shared" ref="F6:F20" si="2">D6+E6</f>
        <v>5702730.5600000005</v>
      </c>
      <c r="G6" s="222"/>
      <c r="H6" s="222"/>
      <c r="J6" t="str">
        <f t="shared" ref="J6:J20" si="3">A6</f>
        <v>Thornton Central School</v>
      </c>
      <c r="K6" s="20">
        <f>3845257.68-124458.64</f>
        <v>3720799.04</v>
      </c>
      <c r="L6" s="20">
        <v>417269.68</v>
      </c>
      <c r="M6" s="307">
        <v>95356.38</v>
      </c>
      <c r="N6" s="20">
        <v>305405.64</v>
      </c>
      <c r="O6" s="20">
        <v>1861725.59</v>
      </c>
      <c r="P6" s="20">
        <v>371575.15</v>
      </c>
      <c r="Q6" s="20">
        <v>38923.15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5602151.46</v>
      </c>
      <c r="E21" s="261">
        <f>SUM(E5:E20)</f>
        <v>225037.74</v>
      </c>
      <c r="F21" s="216"/>
      <c r="G21" s="216"/>
      <c r="H21" s="216"/>
      <c r="K21" s="262">
        <f t="shared" ref="K21:Q21" si="4">SUM(K5:K20)</f>
        <v>3845257.68</v>
      </c>
      <c r="L21" s="262">
        <f t="shared" si="4"/>
        <v>417269.68</v>
      </c>
      <c r="M21" s="262">
        <f t="shared" si="4"/>
        <v>95356.38</v>
      </c>
      <c r="N21" s="262">
        <f t="shared" si="4"/>
        <v>305405.64</v>
      </c>
      <c r="O21" s="262">
        <f t="shared" si="4"/>
        <v>1861725.59</v>
      </c>
      <c r="P21" s="262">
        <f t="shared" si="4"/>
        <v>371575.15</v>
      </c>
      <c r="Q21" s="262">
        <f t="shared" si="4"/>
        <v>38923.15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Thornton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-141556.54999999999</v>
      </c>
      <c r="D8" s="73">
        <f>'DOE25'!G9</f>
        <v>-22772.07</v>
      </c>
      <c r="E8" s="73">
        <f>'DOE25'!H9</f>
        <v>-33439.960000000021</v>
      </c>
      <c r="F8" s="73">
        <f>'DOE25'!I9</f>
        <v>0</v>
      </c>
      <c r="G8" s="73">
        <f>'DOE25'!J9</f>
        <v>0</v>
      </c>
      <c r="H8" s="13">
        <f>SUM(C8:G8)</f>
        <v>-197768.58000000002</v>
      </c>
      <c r="I8" s="90"/>
    </row>
    <row r="9" spans="1:9" x14ac:dyDescent="0.2">
      <c r="A9" s="1" t="s">
        <v>140</v>
      </c>
      <c r="B9" s="6">
        <v>110</v>
      </c>
      <c r="C9" s="73">
        <f>'DOE25'!F10</f>
        <v>0</v>
      </c>
      <c r="D9" s="73">
        <f>'DOE25'!G10</f>
        <v>0</v>
      </c>
      <c r="E9" s="73">
        <f>'DOE25'!H10</f>
        <v>0</v>
      </c>
      <c r="F9" s="73">
        <f>'DOE25'!I10</f>
        <v>0</v>
      </c>
      <c r="G9" s="73">
        <f>'DOE25'!J10</f>
        <v>1143.94</v>
      </c>
      <c r="H9" s="13">
        <f t="shared" ref="H9:H18" si="0">SUM(C9:G9)</f>
        <v>1143.94</v>
      </c>
      <c r="I9" s="90"/>
    </row>
    <row r="10" spans="1:9" x14ac:dyDescent="0.2">
      <c r="A10" s="1" t="s">
        <v>141</v>
      </c>
      <c r="B10" s="6">
        <v>120</v>
      </c>
      <c r="C10" s="73">
        <f>'DOE25'!F11</f>
        <v>404203</v>
      </c>
      <c r="D10" s="23" t="s">
        <v>288</v>
      </c>
      <c r="E10" s="23" t="s">
        <v>288</v>
      </c>
      <c r="F10" s="23" t="s">
        <v>288</v>
      </c>
      <c r="G10" s="23" t="s">
        <v>288</v>
      </c>
      <c r="H10" s="13">
        <f t="shared" si="0"/>
        <v>404203</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2514.64</v>
      </c>
      <c r="D12" s="73">
        <f>'DOE25'!G13</f>
        <v>23782.080000000002</v>
      </c>
      <c r="E12" s="73">
        <f>'DOE25'!H13</f>
        <v>35266.959999999999</v>
      </c>
      <c r="F12" s="73">
        <f>'DOE25'!I13</f>
        <v>0</v>
      </c>
      <c r="G12" s="73">
        <f>'DOE25'!J13</f>
        <v>0</v>
      </c>
      <c r="H12" s="13">
        <f t="shared" si="0"/>
        <v>61563.68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6584.43</v>
      </c>
      <c r="D16" s="73">
        <f>'DOE25'!G17</f>
        <v>0</v>
      </c>
      <c r="E16" s="73">
        <f>'DOE25'!H17</f>
        <v>0</v>
      </c>
      <c r="F16" s="73">
        <f>'DOE25'!I17</f>
        <v>0</v>
      </c>
      <c r="G16" s="73">
        <f>'DOE25'!J17</f>
        <v>0</v>
      </c>
      <c r="H16" s="13">
        <f t="shared" si="0"/>
        <v>6584.43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271745.52</v>
      </c>
      <c r="D18" s="38">
        <f>SUM(D8:D17)</f>
        <v>1010.010000000002</v>
      </c>
      <c r="E18" s="38">
        <f>SUM(E8:E17)</f>
        <v>1826.9999999999782</v>
      </c>
      <c r="F18" s="38">
        <f>SUM(F8:F17)</f>
        <v>0</v>
      </c>
      <c r="G18" s="38">
        <f>SUM(G8:G17)</f>
        <v>1143.94</v>
      </c>
      <c r="H18" s="38">
        <f t="shared" si="0"/>
        <v>275726.47000000003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16891.23</v>
      </c>
      <c r="D23" s="73">
        <f>'DOE25'!G24</f>
        <v>380.82</v>
      </c>
      <c r="E23" s="73">
        <f>'DOE25'!H24</f>
        <v>2430.58</v>
      </c>
      <c r="F23" s="73">
        <f>'DOE25'!I24</f>
        <v>0</v>
      </c>
      <c r="G23" s="73">
        <f>'DOE25'!J24</f>
        <v>0</v>
      </c>
      <c r="H23" s="13">
        <f t="shared" si="1"/>
        <v>19702.629999999997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7338.1</v>
      </c>
      <c r="D29" s="73">
        <f>'DOE25'!G30</f>
        <v>0</v>
      </c>
      <c r="E29" s="73">
        <f>'DOE25'!H30</f>
        <v>0</v>
      </c>
      <c r="F29" s="73">
        <f>'DOE25'!I30</f>
        <v>0</v>
      </c>
      <c r="G29" s="23" t="s">
        <v>288</v>
      </c>
      <c r="H29" s="13">
        <f t="shared" si="1"/>
        <v>7338.1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24229.33</v>
      </c>
      <c r="D31" s="38">
        <f>SUM(D21:D30)</f>
        <v>380.82</v>
      </c>
      <c r="E31" s="38">
        <f>SUM(E21:E30)</f>
        <v>2430.58</v>
      </c>
      <c r="F31" s="38">
        <f>SUM(F21:F30)</f>
        <v>0</v>
      </c>
      <c r="G31" s="38">
        <f>SUM(G21:G30)</f>
        <v>0</v>
      </c>
      <c r="H31" s="38">
        <f t="shared" si="1"/>
        <v>27040.730000000003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135300.51</v>
      </c>
      <c r="D45" s="23" t="s">
        <v>288</v>
      </c>
      <c r="E45" s="23" t="s">
        <v>288</v>
      </c>
      <c r="F45" s="23" t="s">
        <v>288</v>
      </c>
      <c r="G45" s="23" t="s">
        <v>288</v>
      </c>
      <c r="H45" s="13">
        <f t="shared" si="2"/>
        <v>135300.51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629.19000000000005</v>
      </c>
      <c r="E47" s="73">
        <f>'DOE25'!H48</f>
        <v>-603.58000000000004</v>
      </c>
      <c r="F47" s="73">
        <f>'DOE25'!I48</f>
        <v>0</v>
      </c>
      <c r="G47" s="73">
        <f>'DOE25'!J48</f>
        <v>1143.94</v>
      </c>
      <c r="H47" s="13">
        <f t="shared" si="2"/>
        <v>1169.5500000000002</v>
      </c>
      <c r="I47" s="90"/>
    </row>
    <row r="48" spans="1:9" x14ac:dyDescent="0.2">
      <c r="A48" s="1" t="s">
        <v>878</v>
      </c>
      <c r="B48" s="6">
        <v>753</v>
      </c>
      <c r="C48" s="73">
        <f>'DOE25'!F49</f>
        <v>62215.68</v>
      </c>
      <c r="D48" s="73">
        <f>'DOE25'!G49</f>
        <v>0</v>
      </c>
      <c r="E48" s="73">
        <f>'DOE25'!H49</f>
        <v>0</v>
      </c>
      <c r="F48" s="73">
        <f>'DOE25'!I49</f>
        <v>0</v>
      </c>
      <c r="G48" s="73">
        <f>'DOE25'!J49</f>
        <v>0</v>
      </c>
      <c r="H48" s="13">
        <f t="shared" si="2"/>
        <v>62215.68</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247516.19</v>
      </c>
      <c r="D50" s="38">
        <f>SUM(D34:D49)</f>
        <v>629.19000000000005</v>
      </c>
      <c r="E50" s="38">
        <f>SUM(E34:E49)</f>
        <v>-603.58000000000004</v>
      </c>
      <c r="F50" s="38">
        <f>SUM(F34:F49)</f>
        <v>0</v>
      </c>
      <c r="G50" s="38">
        <f>SUM(G34:G49)</f>
        <v>1143.94</v>
      </c>
      <c r="H50" s="38">
        <f t="shared" si="2"/>
        <v>248685.74000000002</v>
      </c>
      <c r="I50" s="90"/>
    </row>
    <row r="51" spans="1:9" ht="12" thickTop="1" x14ac:dyDescent="0.2">
      <c r="A51" s="35" t="s">
        <v>881</v>
      </c>
      <c r="B51" s="2"/>
      <c r="C51" s="38">
        <f>C50+C31</f>
        <v>271745.52</v>
      </c>
      <c r="D51" s="38">
        <f>D50+D31</f>
        <v>1010.01</v>
      </c>
      <c r="E51" s="38">
        <f>E50+E31</f>
        <v>1827</v>
      </c>
      <c r="F51" s="38">
        <f>F50+F31</f>
        <v>0</v>
      </c>
      <c r="G51" s="38">
        <f>G50+G31</f>
        <v>1143.94</v>
      </c>
      <c r="H51" s="38">
        <f t="shared" si="2"/>
        <v>275726.47000000003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4453494</v>
      </c>
      <c r="D56" s="73">
        <f>'DOE25'!G60</f>
        <v>0</v>
      </c>
      <c r="E56" s="73">
        <f>'DOE25'!H60</f>
        <v>0</v>
      </c>
      <c r="F56" s="73">
        <f>'DOE25'!I60</f>
        <v>0</v>
      </c>
      <c r="G56" s="73">
        <f>'DOE25'!J60</f>
        <v>0</v>
      </c>
      <c r="H56" s="13">
        <f t="shared" ref="H56:H63" si="3">SUM(C56:G56)</f>
        <v>4453494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1507.72</v>
      </c>
      <c r="D59" s="73">
        <f>'DOE25'!G96</f>
        <v>0</v>
      </c>
      <c r="E59" s="73">
        <f>'DOE25'!H96</f>
        <v>0</v>
      </c>
      <c r="F59" s="73">
        <f>'DOE25'!I96</f>
        <v>0</v>
      </c>
      <c r="G59" s="73">
        <f>'DOE25'!J96</f>
        <v>17.27</v>
      </c>
      <c r="H59" s="13">
        <f t="shared" si="3"/>
        <v>1524.99</v>
      </c>
      <c r="I59"/>
    </row>
    <row r="60" spans="1:9" x14ac:dyDescent="0.2">
      <c r="A60" s="1" t="s">
        <v>170</v>
      </c>
      <c r="B60" s="22" t="s">
        <v>171</v>
      </c>
      <c r="C60" s="23" t="s">
        <v>288</v>
      </c>
      <c r="D60" s="73">
        <f>'DOE25'!G97</f>
        <v>36576.370000000003</v>
      </c>
      <c r="E60" s="23" t="s">
        <v>288</v>
      </c>
      <c r="F60" s="23" t="s">
        <v>288</v>
      </c>
      <c r="G60" s="23" t="s">
        <v>288</v>
      </c>
      <c r="H60" s="13">
        <f t="shared" si="3"/>
        <v>36576.370000000003</v>
      </c>
      <c r="I60"/>
    </row>
    <row r="61" spans="1:9" ht="12" thickBot="1" x14ac:dyDescent="0.25">
      <c r="A61" s="1" t="s">
        <v>172</v>
      </c>
      <c r="B61" s="22" t="s">
        <v>173</v>
      </c>
      <c r="C61" s="73">
        <f>SUM('DOE25'!F98:F110)</f>
        <v>3383.94</v>
      </c>
      <c r="D61" s="73">
        <f>SUM('DOE25'!G98:G110)</f>
        <v>0</v>
      </c>
      <c r="E61" s="73">
        <f>SUM('DOE25'!H98:H110)</f>
        <v>0</v>
      </c>
      <c r="F61" s="73">
        <f>SUM('DOE25'!I98:I110)</f>
        <v>0</v>
      </c>
      <c r="G61" s="73">
        <f>SUM('DOE25'!J98:J110)</f>
        <v>0</v>
      </c>
      <c r="H61" s="13">
        <f t="shared" si="3"/>
        <v>3383.94</v>
      </c>
      <c r="I61"/>
    </row>
    <row r="62" spans="1:9" ht="12.75" thickTop="1" thickBot="1" x14ac:dyDescent="0.25">
      <c r="A62" s="28" t="s">
        <v>174</v>
      </c>
      <c r="B62" s="6"/>
      <c r="C62" s="93">
        <f>SUM(C57:C61)</f>
        <v>4891.66</v>
      </c>
      <c r="D62" s="93">
        <f>SUM(D57:D61)</f>
        <v>36576.370000000003</v>
      </c>
      <c r="E62" s="93">
        <f>SUM(E57:E61)</f>
        <v>0</v>
      </c>
      <c r="F62" s="93">
        <f>SUM(F57:F61)</f>
        <v>0</v>
      </c>
      <c r="G62" s="93">
        <f>SUM(G57:G61)</f>
        <v>17.27</v>
      </c>
      <c r="H62" s="13">
        <f t="shared" si="3"/>
        <v>41485.299999999996</v>
      </c>
      <c r="I62"/>
    </row>
    <row r="63" spans="1:9" ht="12" thickTop="1" x14ac:dyDescent="0.2">
      <c r="A63" s="28" t="s">
        <v>175</v>
      </c>
      <c r="B63" s="6"/>
      <c r="C63" s="21">
        <f>C56+C62</f>
        <v>4458385.66</v>
      </c>
      <c r="D63" s="21">
        <f>D56+D62</f>
        <v>36576.370000000003</v>
      </c>
      <c r="E63" s="21">
        <f>E56+E62</f>
        <v>0</v>
      </c>
      <c r="F63" s="21">
        <f>F56+F62</f>
        <v>0</v>
      </c>
      <c r="G63" s="21">
        <f>G56+G62</f>
        <v>17.27</v>
      </c>
      <c r="H63" s="13">
        <f t="shared" si="3"/>
        <v>4494979.3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506256.94</v>
      </c>
      <c r="D66" s="23" t="s">
        <v>288</v>
      </c>
      <c r="E66" s="23" t="s">
        <v>288</v>
      </c>
      <c r="F66" s="23" t="s">
        <v>288</v>
      </c>
      <c r="G66" s="23" t="s">
        <v>288</v>
      </c>
      <c r="H66" s="13">
        <f t="shared" ref="H66:H81" si="4">SUM(C66:G66)</f>
        <v>506256.94</v>
      </c>
      <c r="I66"/>
    </row>
    <row r="67" spans="1:9" x14ac:dyDescent="0.2">
      <c r="A67" s="1" t="s">
        <v>767</v>
      </c>
      <c r="B67" s="6">
        <v>3112</v>
      </c>
      <c r="C67" s="73">
        <f>'DOE25'!F118</f>
        <v>515709</v>
      </c>
      <c r="D67" s="23"/>
      <c r="E67" s="23"/>
      <c r="F67" s="23"/>
      <c r="G67" s="23"/>
      <c r="H67" s="13">
        <f t="shared" si="4"/>
        <v>515709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4265</v>
      </c>
      <c r="D69" s="73">
        <f>'DOE25'!G120</f>
        <v>0</v>
      </c>
      <c r="E69" s="73">
        <f>'DOE25'!H120</f>
        <v>0</v>
      </c>
      <c r="F69" s="73">
        <f>'DOE25'!I120</f>
        <v>0</v>
      </c>
      <c r="G69" s="73">
        <f>'DOE25'!J120</f>
        <v>0</v>
      </c>
      <c r="H69" s="13">
        <f t="shared" si="4"/>
        <v>4265</v>
      </c>
      <c r="I69"/>
    </row>
    <row r="70" spans="1:9" ht="12" thickTop="1" x14ac:dyDescent="0.2">
      <c r="A70" s="28" t="s">
        <v>252</v>
      </c>
      <c r="B70" s="2"/>
      <c r="C70" s="97">
        <f>SUM(C66:C69)</f>
        <v>1026230.94</v>
      </c>
      <c r="D70" s="97">
        <f>D69</f>
        <v>0</v>
      </c>
      <c r="E70" s="97">
        <f>E69</f>
        <v>0</v>
      </c>
      <c r="F70" s="97">
        <f>F69</f>
        <v>0</v>
      </c>
      <c r="G70" s="97">
        <f>G69</f>
        <v>0</v>
      </c>
      <c r="H70" s="13">
        <f t="shared" si="4"/>
        <v>1026230.94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688.96</v>
      </c>
      <c r="E77" s="73">
        <f>SUM('DOE25'!H131:H135)</f>
        <v>0</v>
      </c>
      <c r="F77" s="73">
        <f>SUM('DOE25'!I131:I135)</f>
        <v>0</v>
      </c>
      <c r="G77" s="73">
        <f>SUM('DOE25'!J131:J135)</f>
        <v>0</v>
      </c>
      <c r="H77" s="13">
        <f t="shared" si="4"/>
        <v>688.96</v>
      </c>
      <c r="I77"/>
    </row>
    <row r="78" spans="1:9" ht="12.75" thickTop="1" thickBot="1" x14ac:dyDescent="0.25">
      <c r="A78" s="28" t="s">
        <v>259</v>
      </c>
      <c r="B78" s="6"/>
      <c r="C78" s="93">
        <f>SUM(C72:C77)</f>
        <v>0</v>
      </c>
      <c r="D78" s="93">
        <f>SUM(D72:D77)</f>
        <v>688.96</v>
      </c>
      <c r="E78" s="93">
        <f>SUM(E72:E77)</f>
        <v>0</v>
      </c>
      <c r="F78" s="93">
        <f>SUM(F72:F77)</f>
        <v>0</v>
      </c>
      <c r="G78" s="93">
        <f>SUM(G72:G77)</f>
        <v>0</v>
      </c>
      <c r="H78" s="13">
        <f t="shared" si="4"/>
        <v>688.96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1026230.94</v>
      </c>
      <c r="D81" s="93">
        <f>SUM(D79:D80)+D78+D70</f>
        <v>688.96</v>
      </c>
      <c r="E81" s="93">
        <f>SUM(E79:E80)+E78+E70</f>
        <v>0</v>
      </c>
      <c r="F81" s="93">
        <f>SUM(F79:F80)+F78+F70</f>
        <v>0</v>
      </c>
      <c r="G81" s="93">
        <f>SUM(G79:G80)+G78+G70</f>
        <v>0</v>
      </c>
      <c r="H81" s="93">
        <f t="shared" si="4"/>
        <v>1026919.8999999999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52510.03</v>
      </c>
      <c r="D88" s="252">
        <f>SUM('DOE25'!G153:G162)</f>
        <v>29497.55</v>
      </c>
      <c r="E88" s="252">
        <f>SUM('DOE25'!H153:H162)</f>
        <v>575981.17999999993</v>
      </c>
      <c r="F88" s="252">
        <f>SUM('DOE25'!I153:I162)</f>
        <v>0</v>
      </c>
      <c r="G88" s="23" t="s">
        <v>288</v>
      </c>
      <c r="H88" s="13">
        <f t="shared" si="5"/>
        <v>657988.75999999989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8262.5400000000009</v>
      </c>
      <c r="D90" s="23" t="s">
        <v>288</v>
      </c>
      <c r="E90" s="23" t="s">
        <v>288</v>
      </c>
      <c r="F90" s="23" t="s">
        <v>288</v>
      </c>
      <c r="G90" s="23" t="s">
        <v>288</v>
      </c>
      <c r="H90" s="13">
        <f t="shared" si="5"/>
        <v>8262.5400000000009</v>
      </c>
    </row>
    <row r="91" spans="1:9" ht="12.75" thickTop="1" thickBot="1" x14ac:dyDescent="0.25">
      <c r="A91" s="32" t="s">
        <v>747</v>
      </c>
      <c r="C91" s="94">
        <f>SUM(C85:C90)</f>
        <v>60772.57</v>
      </c>
      <c r="D91" s="94">
        <f>SUM(D85:D90)</f>
        <v>29497.55</v>
      </c>
      <c r="E91" s="94">
        <f>SUM(E85:E90)</f>
        <v>575981.17999999993</v>
      </c>
      <c r="F91" s="94">
        <f>SUM(F85:F90)</f>
        <v>0</v>
      </c>
      <c r="G91" s="23" t="s">
        <v>288</v>
      </c>
      <c r="H91" s="13">
        <f t="shared" si="5"/>
        <v>666251.29999999993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494741.54</v>
      </c>
      <c r="G93" s="23" t="s">
        <v>288</v>
      </c>
      <c r="H93" s="13">
        <f t="shared" si="5"/>
        <v>494741.54</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20000</v>
      </c>
      <c r="E96" s="73">
        <f>'DOE25'!H180</f>
        <v>0</v>
      </c>
      <c r="F96" s="73">
        <f>'DOE25'!I180</f>
        <v>0</v>
      </c>
      <c r="G96" s="73">
        <f>'DOE25'!J180</f>
        <v>0</v>
      </c>
      <c r="H96" s="13">
        <f t="shared" si="5"/>
        <v>20000</v>
      </c>
    </row>
    <row r="97" spans="1:8" x14ac:dyDescent="0.2">
      <c r="A97" t="s">
        <v>751</v>
      </c>
      <c r="B97" s="31" t="s">
        <v>188</v>
      </c>
      <c r="C97" s="73">
        <f>SUM('DOE25'!F181:F182)</f>
        <v>0</v>
      </c>
      <c r="D97" s="73">
        <f>SUM('DOE25'!G181:G182)</f>
        <v>0</v>
      </c>
      <c r="E97" s="73">
        <f>SUM('DOE25'!H181:H182)</f>
        <v>0</v>
      </c>
      <c r="F97" s="73">
        <f>SUM('DOE25'!I181:I182)</f>
        <v>350000</v>
      </c>
      <c r="G97" s="73">
        <f>SUM('DOE25'!J181:J182)</f>
        <v>0</v>
      </c>
      <c r="H97" s="13">
        <f t="shared" si="5"/>
        <v>350000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20000</v>
      </c>
      <c r="E103" s="68">
        <f>SUM(E93:E102)</f>
        <v>0</v>
      </c>
      <c r="F103" s="68">
        <f>SUM(F93:F102)</f>
        <v>844741.54</v>
      </c>
      <c r="G103" s="68">
        <f>SUM(G93:G102)</f>
        <v>0</v>
      </c>
      <c r="H103" s="68">
        <f t="shared" si="5"/>
        <v>864741.54</v>
      </c>
    </row>
    <row r="104" spans="1:8" ht="12.75" thickTop="1" thickBot="1" x14ac:dyDescent="0.25">
      <c r="A104" s="32" t="s">
        <v>758</v>
      </c>
      <c r="C104" s="68">
        <f>C63+C81+C91+C103</f>
        <v>5545389.1699999999</v>
      </c>
      <c r="D104" s="68">
        <f>D63+D81+D91+D103</f>
        <v>86762.880000000005</v>
      </c>
      <c r="E104" s="68">
        <f>E63+E81+E91+E103</f>
        <v>575981.17999999993</v>
      </c>
      <c r="F104" s="68">
        <f>F63+F81+F91+F103</f>
        <v>844741.54</v>
      </c>
      <c r="G104" s="68">
        <f>G63+G81+G103</f>
        <v>17.27</v>
      </c>
      <c r="H104" s="68">
        <f t="shared" si="5"/>
        <v>7052892.0399999991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2447486.29</v>
      </c>
      <c r="D109" s="23" t="s">
        <v>288</v>
      </c>
      <c r="E109" s="73">
        <f>('DOE25'!L277)+('DOE25'!L296)+('DOE25'!L315)</f>
        <v>91761.44</v>
      </c>
      <c r="F109" s="23" t="s">
        <v>288</v>
      </c>
      <c r="G109" s="23" t="s">
        <v>288</v>
      </c>
      <c r="H109" s="13">
        <f t="shared" ref="H109:H115" si="6">SUM(C109:G109)</f>
        <v>2539247.73</v>
      </c>
    </row>
    <row r="110" spans="1:8" x14ac:dyDescent="0.2">
      <c r="A110" t="s">
        <v>198</v>
      </c>
      <c r="B110" s="31" t="s">
        <v>199</v>
      </c>
      <c r="C110" s="73">
        <f>('DOE25'!L199)+('DOE25'!L217)+('DOE25'!L235)</f>
        <v>1140490.6399999999</v>
      </c>
      <c r="D110" s="23" t="s">
        <v>288</v>
      </c>
      <c r="E110" s="73">
        <f>('DOE25'!L278)+('DOE25'!L297)+('DOE25'!L316)</f>
        <v>47361</v>
      </c>
      <c r="F110" s="23" t="s">
        <v>288</v>
      </c>
      <c r="G110" s="23" t="s">
        <v>288</v>
      </c>
      <c r="H110" s="13">
        <f t="shared" si="6"/>
        <v>1187851.6399999999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94851.47</v>
      </c>
      <c r="D112" s="23" t="s">
        <v>288</v>
      </c>
      <c r="E112" s="73">
        <f>+('DOE25'!L280)+('DOE25'!L299)+('DOE25'!L318)</f>
        <v>23306.84</v>
      </c>
      <c r="F112" s="23" t="s">
        <v>288</v>
      </c>
      <c r="G112" s="23" t="s">
        <v>288</v>
      </c>
      <c r="H112" s="13">
        <f t="shared" si="6"/>
        <v>118158.31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3682828.4</v>
      </c>
      <c r="D115" s="68">
        <f>SUM(D109:D114)</f>
        <v>0</v>
      </c>
      <c r="E115" s="68">
        <f>SUM(E109:E114)</f>
        <v>162429.28</v>
      </c>
      <c r="F115" s="68">
        <f>SUM(F109:F114)</f>
        <v>0</v>
      </c>
      <c r="G115" s="68">
        <f>SUM(G109:G114)</f>
        <v>0</v>
      </c>
      <c r="H115" s="68">
        <f t="shared" si="6"/>
        <v>3845257.6799999997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417269.68</v>
      </c>
      <c r="D118" s="23" t="s">
        <v>288</v>
      </c>
      <c r="E118" s="73">
        <f>+('DOE25'!L282)+('DOE25'!L301)+('DOE25'!L320)</f>
        <v>0</v>
      </c>
      <c r="F118" s="23" t="s">
        <v>288</v>
      </c>
      <c r="G118" s="23" t="s">
        <v>288</v>
      </c>
      <c r="H118" s="13">
        <f t="shared" ref="H118:H145" si="7">SUM(C118:G118)</f>
        <v>417269.68</v>
      </c>
    </row>
    <row r="119" spans="1:8" x14ac:dyDescent="0.2">
      <c r="A119" t="s">
        <v>208</v>
      </c>
      <c r="B119" s="31" t="s">
        <v>209</v>
      </c>
      <c r="C119" s="73">
        <f>('DOE25'!L204)+('DOE25'!L222)+('DOE25'!L240)</f>
        <v>70725.099999999991</v>
      </c>
      <c r="D119" s="23" t="s">
        <v>288</v>
      </c>
      <c r="E119" s="73">
        <f>+('DOE25'!L283)+('DOE25'!L302)+('DOE25'!L321)</f>
        <v>24631.280000000002</v>
      </c>
      <c r="F119" s="23" t="s">
        <v>288</v>
      </c>
      <c r="G119" s="23" t="s">
        <v>288</v>
      </c>
      <c r="H119" s="13">
        <f t="shared" si="7"/>
        <v>95356.37999999999</v>
      </c>
    </row>
    <row r="120" spans="1:8" x14ac:dyDescent="0.2">
      <c r="A120" t="s">
        <v>210</v>
      </c>
      <c r="B120" s="31" t="s">
        <v>211</v>
      </c>
      <c r="C120" s="73">
        <f>('DOE25'!L205)+('DOE25'!L223)+('DOE25'!L241)</f>
        <v>254093.39</v>
      </c>
      <c r="D120" s="23" t="s">
        <v>288</v>
      </c>
      <c r="E120" s="73">
        <f>+('DOE25'!L284)+('DOE25'!L303)+('DOE25'!L322)</f>
        <v>15013.59</v>
      </c>
      <c r="F120" s="23" t="s">
        <v>288</v>
      </c>
      <c r="G120" s="23" t="s">
        <v>288</v>
      </c>
      <c r="H120" s="13">
        <f t="shared" si="7"/>
        <v>269106.98000000004</v>
      </c>
    </row>
    <row r="121" spans="1:8" x14ac:dyDescent="0.2">
      <c r="A121" t="s">
        <v>212</v>
      </c>
      <c r="B121" s="31" t="s">
        <v>213</v>
      </c>
      <c r="C121" s="73">
        <f>('DOE25'!L206)+('DOE25'!L224)+('DOE25'!L242)</f>
        <v>305405.63999999996</v>
      </c>
      <c r="D121" s="23" t="s">
        <v>288</v>
      </c>
      <c r="E121" s="73">
        <f>+('DOE25'!L285)+('DOE25'!L304)+('DOE25'!L323)</f>
        <v>0</v>
      </c>
      <c r="F121" s="23" t="s">
        <v>288</v>
      </c>
      <c r="G121" s="23" t="s">
        <v>288</v>
      </c>
      <c r="H121" s="13">
        <f t="shared" si="7"/>
        <v>305405.63999999996</v>
      </c>
    </row>
    <row r="122" spans="1:8" x14ac:dyDescent="0.2">
      <c r="A122" t="s">
        <v>214</v>
      </c>
      <c r="B122" s="31" t="s">
        <v>215</v>
      </c>
      <c r="C122" s="73">
        <f>('DOE25'!L207)+('DOE25'!L225)+('DOE25'!L243)</f>
        <v>0</v>
      </c>
      <c r="D122" s="23" t="s">
        <v>288</v>
      </c>
      <c r="E122" s="73">
        <f>+('DOE25'!L286)+('DOE25'!L305)+('DOE25'!L324)</f>
        <v>14020.33</v>
      </c>
      <c r="F122" s="23" t="s">
        <v>288</v>
      </c>
      <c r="G122" s="23" t="s">
        <v>288</v>
      </c>
      <c r="H122" s="13">
        <f t="shared" si="7"/>
        <v>14020.33</v>
      </c>
    </row>
    <row r="123" spans="1:8" x14ac:dyDescent="0.2">
      <c r="A123" t="s">
        <v>216</v>
      </c>
      <c r="B123" s="31" t="s">
        <v>217</v>
      </c>
      <c r="C123" s="73">
        <f>('DOE25'!L208)+('DOE25'!L226)+('DOE25'!L244)</f>
        <v>647252.88</v>
      </c>
      <c r="D123" s="23" t="s">
        <v>288</v>
      </c>
      <c r="E123" s="73">
        <f>+('DOE25'!L287)+('DOE25'!L306)+('DOE25'!L325)</f>
        <v>8943.26</v>
      </c>
      <c r="F123" s="23" t="s">
        <v>288</v>
      </c>
      <c r="G123" s="23" t="s">
        <v>288</v>
      </c>
      <c r="H123" s="13">
        <f t="shared" si="7"/>
        <v>656196.14</v>
      </c>
    </row>
    <row r="124" spans="1:8" x14ac:dyDescent="0.2">
      <c r="A124" t="s">
        <v>218</v>
      </c>
      <c r="B124" s="31" t="s">
        <v>219</v>
      </c>
      <c r="C124" s="73">
        <f>('DOE25'!L209)+('DOE25'!L227)+('DOE25'!L245+'DOE25'!L255)</f>
        <v>224576.37</v>
      </c>
      <c r="D124" s="23" t="s">
        <v>288</v>
      </c>
      <c r="E124" s="73">
        <f>+('DOE25'!L288)+('DOE25'!L307)+('DOE25'!L326)</f>
        <v>0</v>
      </c>
      <c r="F124" s="23" t="s">
        <v>288</v>
      </c>
      <c r="G124" s="23" t="s">
        <v>288</v>
      </c>
      <c r="H124" s="13">
        <f t="shared" si="7"/>
        <v>224576.37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99980.47</v>
      </c>
      <c r="E127" s="23" t="s">
        <v>288</v>
      </c>
      <c r="F127" s="23" t="s">
        <v>288</v>
      </c>
      <c r="G127" s="23" t="s">
        <v>288</v>
      </c>
      <c r="H127" s="13">
        <f t="shared" si="7"/>
        <v>99980.47</v>
      </c>
    </row>
    <row r="128" spans="1:8" ht="12.75" thickTop="1" thickBot="1" x14ac:dyDescent="0.25">
      <c r="A128" s="32" t="s">
        <v>226</v>
      </c>
      <c r="C128" s="68">
        <f>SUM(C118:C127)</f>
        <v>1919323.06</v>
      </c>
      <c r="D128" s="68">
        <f>SUM(D118:D127)</f>
        <v>99980.47</v>
      </c>
      <c r="E128" s="68">
        <f>SUM(E118:E127)</f>
        <v>62608.460000000006</v>
      </c>
      <c r="F128" s="68">
        <f>SUM(F118:F127)</f>
        <v>0</v>
      </c>
      <c r="G128" s="68">
        <f>SUM(G118:G127)</f>
        <v>0</v>
      </c>
      <c r="H128" s="68">
        <f t="shared" si="7"/>
        <v>2081911.99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4125</v>
      </c>
      <c r="D130" s="23" t="s">
        <v>288</v>
      </c>
      <c r="E130" s="92">
        <f>'DOE25'!L337</f>
        <v>1700</v>
      </c>
      <c r="F130" s="92">
        <f>SUM('DOE25'!L375:'DOE25'!L381)</f>
        <v>494741.54</v>
      </c>
      <c r="G130" s="23" t="s">
        <v>288</v>
      </c>
      <c r="H130" s="13">
        <f t="shared" si="7"/>
        <v>500566.54</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350000</v>
      </c>
      <c r="G134" s="73">
        <f>'DOE25'!K435</f>
        <v>0</v>
      </c>
      <c r="H134" s="13">
        <f t="shared" si="7"/>
        <v>350000</v>
      </c>
    </row>
    <row r="135" spans="1:8" x14ac:dyDescent="0.2">
      <c r="A135" t="s">
        <v>233</v>
      </c>
      <c r="B135" s="31" t="s">
        <v>234</v>
      </c>
      <c r="C135" s="73">
        <f>'DOE25'!L264</f>
        <v>20000</v>
      </c>
      <c r="D135" s="23" t="s">
        <v>288</v>
      </c>
      <c r="E135" s="92">
        <f>'DOE25'!L346</f>
        <v>0</v>
      </c>
      <c r="F135" s="23" t="s">
        <v>288</v>
      </c>
      <c r="G135" s="23" t="s">
        <v>288</v>
      </c>
      <c r="H135" s="13">
        <f t="shared" si="7"/>
        <v>20000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350000</v>
      </c>
      <c r="F137" s="23" t="s">
        <v>288</v>
      </c>
      <c r="G137" s="23" t="s">
        <v>288</v>
      </c>
      <c r="H137" s="13">
        <f t="shared" si="7"/>
        <v>350000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17.27</v>
      </c>
      <c r="D139" s="23" t="s">
        <v>288</v>
      </c>
      <c r="E139" s="23" t="s">
        <v>288</v>
      </c>
      <c r="F139" s="23" t="s">
        <v>288</v>
      </c>
      <c r="G139" s="23" t="s">
        <v>288</v>
      </c>
      <c r="H139" s="13">
        <f t="shared" si="7"/>
        <v>17.27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-17.27</v>
      </c>
      <c r="D141" s="23" t="s">
        <v>288</v>
      </c>
      <c r="E141" s="23" t="s">
        <v>288</v>
      </c>
      <c r="F141" s="23" t="s">
        <v>288</v>
      </c>
      <c r="G141" s="23" t="s">
        <v>288</v>
      </c>
      <c r="H141" s="13">
        <f t="shared" si="7"/>
        <v>-17.27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24125</v>
      </c>
      <c r="D144" s="98">
        <f>SUM(D130:D143)</f>
        <v>0</v>
      </c>
      <c r="E144" s="98">
        <f>SUM(E130:E143)</f>
        <v>351700</v>
      </c>
      <c r="F144" s="98">
        <f>SUM(F130:F143)</f>
        <v>844741.54</v>
      </c>
      <c r="G144" s="98">
        <f>SUM(G130:G143)</f>
        <v>0</v>
      </c>
      <c r="H144" s="98">
        <f t="shared" si="7"/>
        <v>1220566.54</v>
      </c>
    </row>
    <row r="145" spans="1:9" ht="12.75" thickTop="1" thickBot="1" x14ac:dyDescent="0.25">
      <c r="A145" s="32" t="s">
        <v>244</v>
      </c>
      <c r="C145" s="68">
        <f>(C115+C128+C144)</f>
        <v>5626276.46</v>
      </c>
      <c r="D145" s="68">
        <f>(D115+D128+D144)</f>
        <v>99980.47</v>
      </c>
      <c r="E145" s="68">
        <f>(E115+E128+E144)</f>
        <v>576737.74</v>
      </c>
      <c r="F145" s="68">
        <f>(F115+F128+F144)</f>
        <v>844741.54</v>
      </c>
      <c r="G145" s="68">
        <f>(G115+G128+G144)</f>
        <v>0</v>
      </c>
      <c r="H145" s="68">
        <f t="shared" si="7"/>
        <v>7147736.21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Thornton</v>
      </c>
    </row>
    <row r="3" spans="1:4" x14ac:dyDescent="0.2">
      <c r="B3" s="136" t="s">
        <v>1792</v>
      </c>
    </row>
    <row r="4" spans="1:4" x14ac:dyDescent="0.2">
      <c r="B4" t="s">
        <v>61</v>
      </c>
      <c r="C4" s="128">
        <f>IF('DOE25'!F666+'DOE25'!F671=0,0,ROUND('DOE25'!F673,0))</f>
        <v>31349</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31349</v>
      </c>
    </row>
    <row r="9" spans="1:4" x14ac:dyDescent="0.2">
      <c r="A9" s="135" t="s">
        <v>94</v>
      </c>
      <c r="B9" s="136" t="s">
        <v>1793</v>
      </c>
      <c r="C9" s="130" t="s">
        <v>720</v>
      </c>
      <c r="D9" s="130" t="s">
        <v>721</v>
      </c>
    </row>
    <row r="10" spans="1:4" x14ac:dyDescent="0.2">
      <c r="A10">
        <v>1100</v>
      </c>
      <c r="B10" t="s">
        <v>702</v>
      </c>
      <c r="C10" s="128">
        <f>ROUND('DOE25'!L198+'DOE25'!L216+'DOE25'!L234+'DOE25'!L277+'DOE25'!L296+'DOE25'!L315,0)</f>
        <v>2539248</v>
      </c>
      <c r="D10" s="131">
        <f>ROUND((C10/$C$28)*100,1)</f>
        <v>43.1</v>
      </c>
    </row>
    <row r="11" spans="1:4" x14ac:dyDescent="0.2">
      <c r="A11">
        <v>1200</v>
      </c>
      <c r="B11" t="s">
        <v>703</v>
      </c>
      <c r="C11" s="128">
        <f>ROUND('DOE25'!L199+'DOE25'!L217+'DOE25'!L235+'DOE25'!L278+'DOE25'!L297+'DOE25'!L316,0)</f>
        <v>1187852</v>
      </c>
      <c r="D11" s="131">
        <f>ROUND((C11/$C$28)*100,1)</f>
        <v>20.2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118158</v>
      </c>
      <c r="D13" s="131">
        <f>ROUND((C13/$C$28)*100,1)</f>
        <v>2</v>
      </c>
    </row>
    <row r="14" spans="1:4" x14ac:dyDescent="0.2">
      <c r="D14" s="131"/>
    </row>
    <row r="15" spans="1:4" x14ac:dyDescent="0.2">
      <c r="A15">
        <v>2100</v>
      </c>
      <c r="B15" t="s">
        <v>706</v>
      </c>
      <c r="C15" s="128">
        <f>ROUND('DOE25'!L203+'DOE25'!L221+'DOE25'!L239+'DOE25'!L282+'DOE25'!L301+'DOE25'!L320,0)</f>
        <v>417270</v>
      </c>
      <c r="D15" s="131">
        <f t="shared" ref="D15:D27" si="0">ROUND((C15/$C$28)*100,1)</f>
        <v>7.1</v>
      </c>
    </row>
    <row r="16" spans="1:4" x14ac:dyDescent="0.2">
      <c r="A16">
        <v>2200</v>
      </c>
      <c r="B16" t="s">
        <v>707</v>
      </c>
      <c r="C16" s="128">
        <f>ROUND('DOE25'!L204+'DOE25'!L222+'DOE25'!L240+'DOE25'!L283+'DOE25'!L302+'DOE25'!L321,0)</f>
        <v>95356</v>
      </c>
      <c r="D16" s="131">
        <f t="shared" si="0"/>
        <v>1.6</v>
      </c>
    </row>
    <row r="17" spans="1:4" x14ac:dyDescent="0.2">
      <c r="A17" s="132" t="s">
        <v>723</v>
      </c>
      <c r="B17" t="s">
        <v>738</v>
      </c>
      <c r="C17" s="128">
        <f>ROUND('DOE25'!L205+'DOE25'!L210+'DOE25'!L223+'DOE25'!L228+'DOE25'!L241+'DOE25'!L246+'DOE25'!L284+'DOE25'!L289+'DOE25'!L303+'DOE25'!L308+'DOE25'!L322+'DOE25'!L327,0)</f>
        <v>269107</v>
      </c>
      <c r="D17" s="131">
        <f t="shared" si="0"/>
        <v>4.5999999999999996</v>
      </c>
    </row>
    <row r="18" spans="1:4" x14ac:dyDescent="0.2">
      <c r="A18">
        <v>2400</v>
      </c>
      <c r="B18" t="s">
        <v>711</v>
      </c>
      <c r="C18" s="128">
        <f>ROUND('DOE25'!L206+'DOE25'!L224+'DOE25'!L242+'DOE25'!L285+'DOE25'!L304+'DOE25'!L323,0)</f>
        <v>305406</v>
      </c>
      <c r="D18" s="131">
        <f t="shared" si="0"/>
        <v>5.2</v>
      </c>
    </row>
    <row r="19" spans="1:4" x14ac:dyDescent="0.2">
      <c r="A19">
        <v>2500</v>
      </c>
      <c r="B19" t="s">
        <v>708</v>
      </c>
      <c r="C19" s="128">
        <f>ROUND('DOE25'!L207+'DOE25'!L225+'DOE25'!L243+'DOE25'!L286+'DOE25'!L305+'DOE25'!L324,0)</f>
        <v>14020</v>
      </c>
      <c r="D19" s="131">
        <f t="shared" si="0"/>
        <v>0.2</v>
      </c>
    </row>
    <row r="20" spans="1:4" x14ac:dyDescent="0.2">
      <c r="A20">
        <v>2600</v>
      </c>
      <c r="B20" t="s">
        <v>709</v>
      </c>
      <c r="C20" s="128">
        <f>ROUND('DOE25'!L208+'DOE25'!L226+'DOE25'!L244+'DOE25'!L287+'DOE25'!L306+'DOE25'!L325,0)</f>
        <v>656196</v>
      </c>
      <c r="D20" s="131">
        <f t="shared" si="0"/>
        <v>11.1</v>
      </c>
    </row>
    <row r="21" spans="1:4" x14ac:dyDescent="0.2">
      <c r="A21">
        <v>2700</v>
      </c>
      <c r="B21" t="s">
        <v>710</v>
      </c>
      <c r="C21" s="128">
        <f>ROUND('DOE25'!L209+'DOE25'!L227+'DOE25'!L245+'DOE25'!L288+'DOE25'!L307+'DOE25'!L326,0)</f>
        <v>224576</v>
      </c>
      <c r="D21" s="131">
        <f t="shared" si="0"/>
        <v>3.8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63403.63</v>
      </c>
      <c r="D27" s="131">
        <f t="shared" si="0"/>
        <v>1.1000000000000001</v>
      </c>
    </row>
    <row r="28" spans="1:4" x14ac:dyDescent="0.2">
      <c r="B28" s="135" t="s">
        <v>719</v>
      </c>
      <c r="C28" s="129">
        <f>SUM(C10:C27)</f>
        <v>5890592.6299999999</v>
      </c>
      <c r="D28" s="133">
        <f>ROUND(SUM(D10:D27),0)</f>
        <v>100</v>
      </c>
    </row>
    <row r="29" spans="1:4" x14ac:dyDescent="0.2">
      <c r="A29">
        <v>4000</v>
      </c>
      <c r="B29" t="s">
        <v>724</v>
      </c>
      <c r="C29" s="128">
        <f>ROUND('DOE25'!L256+'DOE25'!L337+'DOE25'!L375+'DOE25'!L376+'DOE25'!L377+'DOE25'!L378+'DOE25'!L379+'DOE25'!L380+'DOE25'!L381,0)</f>
        <v>500567</v>
      </c>
    </row>
    <row r="30" spans="1:4" x14ac:dyDescent="0.2">
      <c r="B30" s="135" t="s">
        <v>725</v>
      </c>
      <c r="C30" s="129">
        <f>SUM(C28:C29)</f>
        <v>6391159.6299999999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4453494</v>
      </c>
      <c r="D35" s="131">
        <f t="shared" ref="D35:D40" si="1">ROUND((C35/$C$41)*100,1)</f>
        <v>72.400000000000006</v>
      </c>
    </row>
    <row r="36" spans="1:4" x14ac:dyDescent="0.2">
      <c r="B36" s="71" t="s">
        <v>739</v>
      </c>
      <c r="C36" s="128">
        <f>SUM('DOE25'!F112:J112)-SUM('DOE25'!G97:G110)+('DOE25'!F175+'DOE25'!F176+'DOE25'!I175+'DOE25'!I176)-C35</f>
        <v>4908.929999999702</v>
      </c>
      <c r="D36" s="131">
        <f t="shared" si="1"/>
        <v>0.1</v>
      </c>
    </row>
    <row r="37" spans="1:4" x14ac:dyDescent="0.2">
      <c r="A37" s="132" t="s">
        <v>831</v>
      </c>
      <c r="B37" s="71" t="s">
        <v>728</v>
      </c>
      <c r="C37" s="128">
        <f>ROUND('DOE25'!F117+'DOE25'!F118,0)</f>
        <v>1021966</v>
      </c>
      <c r="D37" s="131">
        <f t="shared" si="1"/>
        <v>16.600000000000001</v>
      </c>
    </row>
    <row r="38" spans="1:4" x14ac:dyDescent="0.2">
      <c r="A38" s="132" t="s">
        <v>734</v>
      </c>
      <c r="B38" s="71" t="s">
        <v>729</v>
      </c>
      <c r="C38" s="128">
        <f>ROUND(SUM('DOE25'!F140:J140)-SUM('DOE25'!F117:F119),0)</f>
        <v>4954</v>
      </c>
      <c r="D38" s="131">
        <f t="shared" si="1"/>
        <v>0.1</v>
      </c>
    </row>
    <row r="39" spans="1:4" x14ac:dyDescent="0.2">
      <c r="A39">
        <v>4000</v>
      </c>
      <c r="B39" s="71" t="s">
        <v>730</v>
      </c>
      <c r="C39" s="128">
        <f>ROUND('DOE25'!F170+'DOE25'!G170+'DOE25'!H170+'DOE25'!I170,0)</f>
        <v>666251</v>
      </c>
      <c r="D39" s="131">
        <f t="shared" si="1"/>
        <v>10.8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6151573.9299999997</v>
      </c>
      <c r="D41" s="133">
        <f>SUM(D35:D40)</f>
        <v>99.999999999999986</v>
      </c>
    </row>
    <row r="42" spans="1:4" x14ac:dyDescent="0.2">
      <c r="A42" s="132" t="s">
        <v>737</v>
      </c>
      <c r="B42" s="71" t="s">
        <v>733</v>
      </c>
      <c r="C42" s="128">
        <f>ROUND('DOE25'!F174+'DOE25'!I174+'DOE25'!F177+'DOE25'!I177,0)</f>
        <v>494742</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Thornton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300</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f>IF('School Level Expenditures'!$B$2=A303,'School Tables'!H303,"")</f>
        <v>300</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2024-08-20T17:40:45Z</cp:lastPrinted>
  <dcterms:created xsi:type="dcterms:W3CDTF">1997-12-04T19:04:30Z</dcterms:created>
  <dcterms:modified xsi:type="dcterms:W3CDTF">2024-08-29T18:14:39Z</dcterms:modified>
</cp:coreProperties>
</file>