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7C4B121-7C29-4958-A8A5-2A5F925DC5DF}"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0" i="1" l="1"/>
  <c r="Q6" i="14" l="1"/>
  <c r="K6" i="14"/>
  <c r="F583" i="1" l="1"/>
  <c r="G532" i="1" l="1"/>
  <c r="B37" i="12"/>
  <c r="C19" i="12"/>
  <c r="B19" i="12"/>
  <c r="B20" i="12"/>
  <c r="B10" i="12"/>
  <c r="B11" i="12"/>
  <c r="E13" i="17"/>
  <c r="H155" i="1"/>
  <c r="F9" i="1" l="1"/>
  <c r="F36" i="1"/>
  <c r="H159" i="1"/>
  <c r="H162" i="1"/>
  <c r="H154" i="1"/>
  <c r="H359" i="1"/>
  <c r="G199" i="1"/>
  <c r="G158" i="1"/>
  <c r="H283" i="1"/>
  <c r="K209" i="1"/>
  <c r="J209" i="1"/>
  <c r="I209" i="1"/>
  <c r="H209" i="1"/>
  <c r="G209" i="1"/>
  <c r="F209" i="1"/>
  <c r="H199" i="1"/>
  <c r="H198" i="1"/>
  <c r="K205" i="1"/>
  <c r="H205" i="1"/>
  <c r="J204" i="1"/>
  <c r="I204" i="1"/>
  <c r="G204" i="1"/>
  <c r="F204" i="1"/>
  <c r="H204" i="1"/>
  <c r="I203" i="1"/>
  <c r="G203" i="1"/>
  <c r="F203" i="1"/>
  <c r="H203" i="1"/>
  <c r="H201" i="1"/>
  <c r="G201" i="1"/>
  <c r="F201" i="1"/>
  <c r="I199" i="1"/>
  <c r="F199" i="1"/>
  <c r="I198" i="1"/>
  <c r="G198" i="1"/>
  <c r="F198"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36" i="2"/>
  <c r="H143" i="2"/>
  <c r="H134" i="2"/>
  <c r="H132" i="2"/>
  <c r="H131" i="2"/>
  <c r="H113" i="2"/>
  <c r="H114" i="2"/>
  <c r="H97" i="2"/>
  <c r="H98" i="2"/>
  <c r="H99" i="2"/>
  <c r="H100" i="2"/>
  <c r="H101" i="2"/>
  <c r="H102" i="2"/>
  <c r="H94" i="2"/>
  <c r="H93" i="2"/>
  <c r="H89" i="2"/>
  <c r="H90" i="2"/>
  <c r="H87" i="2"/>
  <c r="H85" i="2"/>
  <c r="H73" i="2"/>
  <c r="H74" i="2"/>
  <c r="H76" i="2"/>
  <c r="H79" i="2"/>
  <c r="H80" i="2"/>
  <c r="H72" i="2"/>
  <c r="H57" i="2"/>
  <c r="H58" i="2"/>
  <c r="H48" i="2"/>
  <c r="H43" i="2"/>
  <c r="H44" i="2"/>
  <c r="H45" i="2"/>
  <c r="H42" i="2"/>
  <c r="H40" i="2"/>
  <c r="H38" i="2"/>
  <c r="H36" i="2"/>
  <c r="H34" i="2"/>
  <c r="H22" i="2"/>
  <c r="H24" i="2"/>
  <c r="H25" i="2"/>
  <c r="H26" i="2"/>
  <c r="H27" i="2"/>
  <c r="H29" i="2"/>
  <c r="H30" i="2"/>
  <c r="H21" i="2"/>
  <c r="H10" i="2"/>
  <c r="H14" i="2"/>
  <c r="H15"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H11" i="2" s="1"/>
  <c r="D11" i="2"/>
  <c r="E11" i="2"/>
  <c r="F11" i="2"/>
  <c r="I442" i="1"/>
  <c r="J12" i="1" s="1"/>
  <c r="G11" i="2" s="1"/>
  <c r="C12" i="2"/>
  <c r="H12" i="2" s="1"/>
  <c r="D12" i="2"/>
  <c r="E12" i="2"/>
  <c r="F12" i="2"/>
  <c r="I443" i="1"/>
  <c r="J13" i="1" s="1"/>
  <c r="G12" i="2" s="1"/>
  <c r="C13" i="2"/>
  <c r="H13" i="2" s="1"/>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H112" i="2" s="1"/>
  <c r="E112" i="2"/>
  <c r="D115" i="2"/>
  <c r="F115" i="2"/>
  <c r="G115" i="2"/>
  <c r="E124"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J652" i="1" l="1"/>
  <c r="H477" i="1"/>
  <c r="H625" i="1" s="1"/>
  <c r="D29" i="13"/>
  <c r="G662" i="1"/>
  <c r="H9" i="2"/>
  <c r="H8" i="2"/>
  <c r="D78" i="2"/>
  <c r="H77" i="2"/>
  <c r="H125" i="2"/>
  <c r="D15" i="13"/>
  <c r="C15" i="13" s="1"/>
  <c r="K36" i="14"/>
  <c r="K37" i="14" s="1"/>
  <c r="C120" i="2"/>
  <c r="H120" i="2" s="1"/>
  <c r="C119" i="2"/>
  <c r="K2" i="14"/>
  <c r="K3" i="14" s="1"/>
  <c r="G646" i="1"/>
  <c r="G409" i="1"/>
  <c r="H646" i="1" s="1"/>
  <c r="J646" i="1"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D51" i="2"/>
  <c r="H91" i="2"/>
  <c r="I662" i="1"/>
  <c r="D128" i="2"/>
  <c r="D145" i="2" s="1"/>
  <c r="H127" i="2"/>
  <c r="H78" i="2"/>
  <c r="F194" i="1"/>
  <c r="G628" i="1" s="1"/>
  <c r="J628" i="1" s="1"/>
  <c r="C81" i="2"/>
  <c r="H81" i="2" s="1"/>
  <c r="D63" i="2"/>
  <c r="H62" i="2"/>
  <c r="H18" i="2"/>
  <c r="H123" i="2"/>
  <c r="H122" i="2"/>
  <c r="I663"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63" i="2"/>
  <c r="H104"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<sst xmlns="http://schemas.openxmlformats.org/spreadsheetml/2006/main" count="6640" uniqueCount="1841">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</sst>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1" sqref="H67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1438</v>
      </c>
      <c r="B2">
        <f>INDEX('School Tables'!$AH$3:$AH$213,MATCH('DOE25'!A2,'School Tables'!$AJ$3:$AJ$213,0))</f>
        <v>543</v>
      </c>
      <c r="C2">
        <f>INDEX('School Tables'!$AI$3:$AI$213,MATCH('DOE25'!A2,'School Tables'!$AJ$3:$AJ$213,0))</f>
        <v>543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136991+255000+852</f>
        <v>392843</v>
      </c>
      <c r="G9" s="18">
        <v>36682</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1244207</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103102</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495945</v>
      </c>
      <c r="G19" s="38">
        <f>SUM(G9:G18)</f>
        <v>36682</v>
      </c>
      <c r="H19" s="38">
        <f>SUM(H9:H18)</f>
        <v>0</v>
      </c>
      <c r="I19" s="38">
        <f>SUM(I9:I18)</f>
        <v>0</v>
      </c>
      <c r="J19" s="38">
        <f>SUM(J9:J18)</f>
        <v>1244207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42852</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97696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140548</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f>103102-1704</f>
        <v>101398</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36682</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1244207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253999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355397</v>
      </c>
      <c r="G51" s="38">
        <f>SUM(G35:G50)</f>
        <v>36682</v>
      </c>
      <c r="H51" s="38">
        <f>SUM(H35:H50)</f>
        <v>0</v>
      </c>
      <c r="I51" s="38">
        <f>SUM(I35:I50)</f>
        <v>0</v>
      </c>
      <c r="J51" s="38">
        <f>SUM(J35:J50)</f>
        <v>1244207</v>
      </c>
      <c r="K51" s="42" t="s">
        <v>288</v>
      </c>
      <c r="L51" s="42" t="s">
        <v>288</v>
      </c>
      <c r="N51" s="130"/>
    </row>
    <row r="52" spans="1:14" s="3" customFormat="1" ht="12.2" customHeight="1" thickTop="1" x14ac:dyDescent="0.15">
      <c r="A52" s="35" t="s">
        <v>455</v>
      </c>
      <c r="B52" s="36" t="s">
        <v>289</v>
      </c>
      <c r="C52" s="6">
        <v>37</v>
      </c>
      <c r="D52" s="36" t="s">
        <v>653</v>
      </c>
      <c r="E52" s="36"/>
      <c r="F52" s="38">
        <f>F51+F32</f>
        <v>495945</v>
      </c>
      <c r="G52" s="38">
        <f>G51+G32</f>
        <v>36682</v>
      </c>
      <c r="H52" s="38">
        <f>H51+H32</f>
        <v>0</v>
      </c>
      <c r="I52" s="38">
        <f>I51+I32</f>
        <v>0</v>
      </c>
      <c r="J52" s="38">
        <f>J51+J32</f>
        <v>1244207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7578767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7578767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19662</v>
      </c>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77880</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3871+3793-5830</f>
        <v>1834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21496</v>
      </c>
      <c r="G111" s="38">
        <f>SUM(G96:G110)</f>
        <v>77880</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7600263</v>
      </c>
      <c r="G112" s="38">
        <f>G60+G111</f>
        <v>77880</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1236445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2492413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10923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3739781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60748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5625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60748</v>
      </c>
      <c r="G136" s="38">
        <f>SUM(G123:G135)</f>
        <v>5625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3800529</v>
      </c>
      <c r="G140" s="38">
        <f>G121+SUM(G136:G137)</f>
        <v>5625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54309+133091+111338</f>
        <v>298738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1157+163445</f>
        <v>164602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158793+17122</f>
        <v>175915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24714+5237+1315</f>
        <v>31266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1481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733641+198015+12887</f>
        <v>944543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1481</v>
      </c>
      <c r="G163" s="38">
        <f>SUM(G150:G162)</f>
        <v>175915</v>
      </c>
      <c r="H163" s="38">
        <f>SUM(H150:H162)</f>
        <v>1439149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1481</v>
      </c>
      <c r="G170" s="38">
        <f>G147+G163+SUM(G164:G169)</f>
        <v>175915</v>
      </c>
      <c r="H170" s="38">
        <f>H147+H163+SUM(H164:H169)</f>
        <v>1439149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333000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333000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333000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11402273</v>
      </c>
      <c r="G194" s="38">
        <f>G112+G140+G170+G193</f>
        <v>259420</v>
      </c>
      <c r="H194" s="38">
        <f>H112+H140+H170+H193</f>
        <v>1439149</v>
      </c>
      <c r="I194" s="38">
        <f>I112+I140+I170+I193</f>
        <v>0</v>
      </c>
      <c r="J194" s="38">
        <f>J112+J140+J193</f>
        <v>333000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1630532+84753+44891+900+33241</f>
        <v>1794317</v>
      </c>
      <c r="G198" s="18">
        <f>414155+4851+21304+1685+127381+6736+22476+311840-1345</f>
        <v>909083</v>
      </c>
      <c r="H198" s="18">
        <f>24233+2953002-2953002</f>
        <v>24233</v>
      </c>
      <c r="I198" s="18">
        <f>40118+7794+18402</f>
        <v>66314</v>
      </c>
      <c r="J198" s="18">
        <v>757</v>
      </c>
      <c r="K198" s="18"/>
      <c r="L198" s="13">
        <f>SUM(F198:K198)</f>
        <v>2794704</v>
      </c>
      <c r="M198" s="8"/>
      <c r="N198" s="164"/>
    </row>
    <row r="199" spans="1:14" s="3" customFormat="1" ht="12.2" customHeight="1" x14ac:dyDescent="0.15">
      <c r="A199" s="1" t="s">
        <v>439</v>
      </c>
      <c r="B199" s="2" t="s">
        <v>341</v>
      </c>
      <c r="C199" s="2" t="s">
        <v>291</v>
      </c>
      <c r="D199" s="2" t="s">
        <v>431</v>
      </c>
      <c r="E199" s="6">
        <v>1200</v>
      </c>
      <c r="F199" s="18">
        <f>363354+258541+242014+1650</f>
        <v>865559</v>
      </c>
      <c r="G199" s="18">
        <f>72706+73507+3229+7639+26174+35748+1120+195+53881+73272+42922</f>
        <v>390393</v>
      </c>
      <c r="H199" s="18">
        <f>296757+836+4037+232152+120+736+282720+270271+17057+92389+431-375109</f>
        <v>822397</v>
      </c>
      <c r="I199" s="18">
        <f>2487+90+1731</f>
        <v>4308</v>
      </c>
      <c r="J199" s="18">
        <v>1137</v>
      </c>
      <c r="K199" s="18">
        <v>673</v>
      </c>
      <c r="L199" s="13">
        <f>SUM(F199:K199)</f>
        <v>2084467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11840+8000</f>
        <v>19840</v>
      </c>
      <c r="G201" s="18">
        <f>863+1649+549+1424</f>
        <v>4485</v>
      </c>
      <c r="H201" s="18">
        <f>15872+3095</f>
        <v>18967</v>
      </c>
      <c r="I201" s="18">
        <v>142</v>
      </c>
      <c r="J201" s="18">
        <v>0</v>
      </c>
      <c r="K201" s="18">
        <v>0</v>
      </c>
      <c r="L201" s="13">
        <f>SUM(F201:K201)</f>
        <v>43434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99824+60913+14426+381</f>
        <v>175544</v>
      </c>
      <c r="G203" s="18">
        <f>28091+32784</f>
        <v>60875</v>
      </c>
      <c r="H203" s="18">
        <f>12729</f>
        <v>12729</v>
      </c>
      <c r="I203" s="18">
        <f>2702+1650</f>
        <v>4352</v>
      </c>
      <c r="J203" s="18">
        <v>0</v>
      </c>
      <c r="K203" s="18">
        <v>299</v>
      </c>
      <c r="L203" s="13">
        <f t="shared" ref="L203:L209" si="0">SUM(F203:K203)</f>
        <v>253799</v>
      </c>
      <c r="M203" s="8"/>
      <c r="N203" s="164"/>
    </row>
    <row r="204" spans="1:14" s="3" customFormat="1" ht="12.2" customHeight="1" x14ac:dyDescent="0.15">
      <c r="A204" s="1" t="s">
        <v>443</v>
      </c>
      <c r="B204" s="2" t="s">
        <v>341</v>
      </c>
      <c r="C204" s="2" t="s">
        <v>295</v>
      </c>
      <c r="D204" s="2" t="s">
        <v>431</v>
      </c>
      <c r="E204" s="6">
        <v>2200</v>
      </c>
      <c r="F204" s="18">
        <f>50373+15746</f>
        <v>66119</v>
      </c>
      <c r="G204" s="18">
        <f>26419+494+3657+977+9893</f>
        <v>41440</v>
      </c>
      <c r="H204" s="18">
        <f>11846</f>
        <v>11846</v>
      </c>
      <c r="I204" s="18">
        <f>247+1375</f>
        <v>1622</v>
      </c>
      <c r="J204" s="18">
        <f>1205+1030</f>
        <v>2235</v>
      </c>
      <c r="K204" s="18"/>
      <c r="L204" s="13">
        <f t="shared" si="0"/>
        <v>123262</v>
      </c>
      <c r="M204" s="8"/>
      <c r="N204" s="164"/>
    </row>
    <row r="205" spans="1:14" s="3" customFormat="1" ht="12.2" customHeight="1" x14ac:dyDescent="0.15">
      <c r="A205" s="1" t="s">
        <v>444</v>
      </c>
      <c r="B205" s="2" t="s">
        <v>341</v>
      </c>
      <c r="C205" s="2" t="s">
        <v>296</v>
      </c>
      <c r="D205" s="2" t="s">
        <v>431</v>
      </c>
      <c r="E205" s="6">
        <v>2300</v>
      </c>
      <c r="F205" s="18">
        <v>335463</v>
      </c>
      <c r="G205" s="18">
        <v>140751</v>
      </c>
      <c r="H205" s="18">
        <f>62503+127</f>
        <v>62630</v>
      </c>
      <c r="I205" s="18">
        <v>6054</v>
      </c>
      <c r="J205" s="18">
        <v>0</v>
      </c>
      <c r="K205" s="18">
        <f>2469+3798+500</f>
        <v>6767</v>
      </c>
      <c r="L205" s="13">
        <f t="shared" si="0"/>
        <v>551665</v>
      </c>
      <c r="M205" s="8"/>
      <c r="N205" s="164"/>
    </row>
    <row r="206" spans="1:14" s="3" customFormat="1" ht="12.2" customHeight="1" x14ac:dyDescent="0.15">
      <c r="A206" s="1" t="s">
        <v>445</v>
      </c>
      <c r="B206" s="2" t="s">
        <v>341</v>
      </c>
      <c r="C206" s="2" t="s">
        <v>297</v>
      </c>
      <c r="D206" s="2" t="s">
        <v>431</v>
      </c>
      <c r="E206" s="6">
        <v>2400</v>
      </c>
      <c r="F206" s="18">
        <v>235586</v>
      </c>
      <c r="G206" s="18">
        <v>76344</v>
      </c>
      <c r="H206" s="18">
        <v>17284</v>
      </c>
      <c r="I206" s="18">
        <v>23785</v>
      </c>
      <c r="J206" s="18">
        <v>0</v>
      </c>
      <c r="K206" s="18">
        <v>2150</v>
      </c>
      <c r="L206" s="13">
        <f t="shared" si="0"/>
        <v>355149</v>
      </c>
      <c r="M206" s="8"/>
      <c r="N206" s="164"/>
    </row>
    <row r="207" spans="1:14" s="3" customFormat="1" ht="12.2" customHeight="1" x14ac:dyDescent="0.15">
      <c r="A207" s="1" t="s">
        <v>446</v>
      </c>
      <c r="B207" s="2" t="s">
        <v>341</v>
      </c>
      <c r="C207" s="2" t="s">
        <v>298</v>
      </c>
      <c r="D207" s="2" t="s">
        <v>431</v>
      </c>
      <c r="E207" s="6">
        <v>2500</v>
      </c>
      <c r="F207" s="18">
        <v>144642</v>
      </c>
      <c r="G207" s="18">
        <v>46216</v>
      </c>
      <c r="H207" s="18">
        <v>21085</v>
      </c>
      <c r="I207" s="18">
        <v>9466</v>
      </c>
      <c r="J207" s="18">
        <v>3048</v>
      </c>
      <c r="K207" s="18">
        <v>2293</v>
      </c>
      <c r="L207" s="13">
        <f t="shared" si="0"/>
        <v>226750</v>
      </c>
      <c r="M207" s="8"/>
      <c r="N207" s="164"/>
    </row>
    <row r="208" spans="1:14" s="3" customFormat="1" ht="12.2" customHeight="1" x14ac:dyDescent="0.15">
      <c r="A208" s="1" t="s">
        <v>447</v>
      </c>
      <c r="B208" s="2" t="s">
        <v>341</v>
      </c>
      <c r="C208" s="2" t="s">
        <v>299</v>
      </c>
      <c r="D208" s="2" t="s">
        <v>431</v>
      </c>
      <c r="E208" s="6">
        <v>2600</v>
      </c>
      <c r="F208" s="18">
        <v>215767</v>
      </c>
      <c r="G208" s="18">
        <v>73863</v>
      </c>
      <c r="H208" s="18">
        <v>152816</v>
      </c>
      <c r="I208" s="18">
        <v>140928</v>
      </c>
      <c r="J208" s="18">
        <v>3589</v>
      </c>
      <c r="K208" s="18">
        <v>0</v>
      </c>
      <c r="L208" s="13">
        <f t="shared" si="0"/>
        <v>586963</v>
      </c>
      <c r="M208" s="8"/>
      <c r="N208" s="164"/>
    </row>
    <row r="209" spans="1:14" s="3" customFormat="1" ht="12.2" customHeight="1" x14ac:dyDescent="0.15">
      <c r="A209" s="1" t="s">
        <v>448</v>
      </c>
      <c r="B209" s="2" t="s">
        <v>341</v>
      </c>
      <c r="C209" s="2" t="s">
        <v>300</v>
      </c>
      <c r="D209" s="2" t="s">
        <v>431</v>
      </c>
      <c r="E209" s="6">
        <v>2700</v>
      </c>
      <c r="F209" s="18">
        <f>265156-79547</f>
        <v>185609</v>
      </c>
      <c r="G209" s="18">
        <f>67965-20390</f>
        <v>47575</v>
      </c>
      <c r="H209" s="18">
        <f>265890-79767</f>
        <v>186123</v>
      </c>
      <c r="I209" s="18">
        <f>54900-16470</f>
        <v>38430</v>
      </c>
      <c r="J209" s="18">
        <f>450-135</f>
        <v>315</v>
      </c>
      <c r="K209" s="18">
        <f>130-39</f>
        <v>91</v>
      </c>
      <c r="L209" s="13">
        <f t="shared" si="0"/>
        <v>458143</v>
      </c>
      <c r="M209" s="8"/>
      <c r="N209" s="164"/>
    </row>
    <row r="210" spans="1:14" s="3" customFormat="1" ht="12.2" customHeight="1" x14ac:dyDescent="0.15">
      <c r="A210" s="1" t="s">
        <v>449</v>
      </c>
      <c r="B210" s="2" t="s">
        <v>341</v>
      </c>
      <c r="C210" s="2" t="s">
        <v>343</v>
      </c>
      <c r="D210" s="2" t="s">
        <v>431</v>
      </c>
      <c r="E210" s="6">
        <v>2800</v>
      </c>
      <c r="F210" s="18">
        <v>41568</v>
      </c>
      <c r="G210" s="18">
        <v>19874</v>
      </c>
      <c r="H210" s="18">
        <v>68301</v>
      </c>
      <c r="I210" s="18">
        <v>3650</v>
      </c>
      <c r="J210" s="18">
        <v>2225</v>
      </c>
      <c r="K210" s="18">
        <v>0</v>
      </c>
      <c r="L210" s="13">
        <f>SUM(F210:K210)</f>
        <v>135618</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4080014</v>
      </c>
      <c r="G212" s="38">
        <f t="shared" si="1"/>
        <v>1810899</v>
      </c>
      <c r="H212" s="38">
        <f t="shared" si="1"/>
        <v>1398411</v>
      </c>
      <c r="I212" s="38">
        <f t="shared" si="1"/>
        <v>299051</v>
      </c>
      <c r="J212" s="38">
        <f t="shared" si="1"/>
        <v>13306</v>
      </c>
      <c r="K212" s="38">
        <f t="shared" si="1"/>
        <v>12273</v>
      </c>
      <c r="L212" s="38">
        <f t="shared" si="1"/>
        <v>7613954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2953002</v>
      </c>
      <c r="I234" s="18"/>
      <c r="J234" s="18"/>
      <c r="K234" s="18"/>
      <c r="L234" s="13">
        <f>SUM(F234:K234)</f>
        <v>2953002</v>
      </c>
      <c r="M234" s="8"/>
      <c r="N234" s="164"/>
    </row>
    <row r="235" spans="1:14" s="3" customFormat="1" ht="12.2" customHeight="1" x14ac:dyDescent="0.15">
      <c r="A235" s="1" t="s">
        <v>439</v>
      </c>
      <c r="B235" s="2" t="s">
        <v>350</v>
      </c>
      <c r="C235" s="2" t="s">
        <v>291</v>
      </c>
      <c r="D235" s="2" t="s">
        <v>431</v>
      </c>
      <c r="E235" s="6">
        <v>1200</v>
      </c>
      <c r="F235" s="18"/>
      <c r="G235" s="18"/>
      <c r="H235" s="18">
        <v>375109</v>
      </c>
      <c r="I235" s="18"/>
      <c r="J235" s="18"/>
      <c r="K235" s="18"/>
      <c r="L235" s="13">
        <f>SUM(F235:K235)</f>
        <v>375109</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v>79547</v>
      </c>
      <c r="G245" s="18">
        <v>20390</v>
      </c>
      <c r="H245" s="18">
        <v>79767</v>
      </c>
      <c r="I245" s="18">
        <v>16470</v>
      </c>
      <c r="J245" s="18">
        <v>135</v>
      </c>
      <c r="K245" s="18">
        <v>39</v>
      </c>
      <c r="L245" s="13">
        <f t="shared" si="4"/>
        <v>196348</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79547</v>
      </c>
      <c r="G248" s="38">
        <f t="shared" si="5"/>
        <v>20390</v>
      </c>
      <c r="H248" s="38">
        <f t="shared" si="5"/>
        <v>3407878</v>
      </c>
      <c r="I248" s="38">
        <f t="shared" si="5"/>
        <v>16470</v>
      </c>
      <c r="J248" s="38">
        <f t="shared" si="5"/>
        <v>135</v>
      </c>
      <c r="K248" s="38">
        <f t="shared" si="5"/>
        <v>39</v>
      </c>
      <c r="L248" s="38">
        <f t="shared" si="5"/>
        <v>3524459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4159561</v>
      </c>
      <c r="G258" s="38">
        <f t="shared" si="8"/>
        <v>1831289</v>
      </c>
      <c r="H258" s="38">
        <f t="shared" si="8"/>
        <v>4806289</v>
      </c>
      <c r="I258" s="38">
        <f t="shared" si="8"/>
        <v>315521</v>
      </c>
      <c r="J258" s="38">
        <f t="shared" si="8"/>
        <v>13441</v>
      </c>
      <c r="K258" s="38">
        <f t="shared" si="8"/>
        <v>12312</v>
      </c>
      <c r="L258" s="38">
        <f t="shared" si="8"/>
        <v>11138413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333000</v>
      </c>
      <c r="L267" s="13">
        <f t="shared" si="9"/>
        <v>333000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333000</v>
      </c>
      <c r="L271" s="38">
        <f t="shared" si="9"/>
        <v>333000</v>
      </c>
      <c r="M271" s="8"/>
      <c r="N271" s="164"/>
    </row>
    <row r="272" spans="1:14" s="33" customFormat="1" ht="12.2" customHeight="1" thickTop="1" x14ac:dyDescent="0.2">
      <c r="A272" s="40" t="s">
        <v>464</v>
      </c>
      <c r="B272" s="37">
        <v>10</v>
      </c>
      <c r="C272" s="37">
        <v>18</v>
      </c>
      <c r="D272" s="36" t="s">
        <v>431</v>
      </c>
      <c r="E272" s="37"/>
      <c r="F272" s="39">
        <f t="shared" ref="F272:L272" si="11">F258+F271</f>
        <v>4159561</v>
      </c>
      <c r="G272" s="39">
        <f t="shared" si="11"/>
        <v>1831289</v>
      </c>
      <c r="H272" s="39">
        <f t="shared" si="11"/>
        <v>4806289</v>
      </c>
      <c r="I272" s="39">
        <f t="shared" si="11"/>
        <v>315521</v>
      </c>
      <c r="J272" s="39">
        <f t="shared" si="11"/>
        <v>13441</v>
      </c>
      <c r="K272" s="39">
        <f t="shared" si="11"/>
        <v>345312</v>
      </c>
      <c r="L272" s="39">
        <f t="shared" si="11"/>
        <v>11471413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307114</v>
      </c>
      <c r="G277" s="18">
        <v>73791</v>
      </c>
      <c r="H277" s="18">
        <v>525452</v>
      </c>
      <c r="I277" s="18">
        <v>13901</v>
      </c>
      <c r="J277" s="18">
        <v>0</v>
      </c>
      <c r="K277" s="18">
        <v>0</v>
      </c>
      <c r="L277" s="13">
        <f>SUM(F277:K277)</f>
        <v>920258</v>
      </c>
      <c r="M277" s="8"/>
      <c r="N277" s="164"/>
    </row>
    <row r="278" spans="1:14" s="3" customFormat="1" ht="12.2" customHeight="1" x14ac:dyDescent="0.15">
      <c r="A278" s="1" t="s">
        <v>439</v>
      </c>
      <c r="B278" s="2" t="s">
        <v>357</v>
      </c>
      <c r="C278" s="2" t="s">
        <v>291</v>
      </c>
      <c r="D278" s="2" t="s">
        <v>431</v>
      </c>
      <c r="E278" s="6">
        <v>1200</v>
      </c>
      <c r="F278" s="18">
        <v>24833</v>
      </c>
      <c r="G278" s="18">
        <v>5892</v>
      </c>
      <c r="H278" s="18">
        <v>1650</v>
      </c>
      <c r="I278" s="18">
        <v>24225</v>
      </c>
      <c r="J278" s="18">
        <v>59167</v>
      </c>
      <c r="K278" s="18">
        <v>0</v>
      </c>
      <c r="L278" s="13">
        <f>SUM(F278:K278)</f>
        <v>115767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165729</v>
      </c>
      <c r="G282" s="18">
        <v>86521</v>
      </c>
      <c r="H282" s="18">
        <v>1146</v>
      </c>
      <c r="I282" s="18"/>
      <c r="J282" s="18"/>
      <c r="K282" s="18"/>
      <c r="L282" s="13">
        <f t="shared" ref="L282:L288" si="12">SUM(F282:K282)</f>
        <v>253396</v>
      </c>
      <c r="M282" s="8"/>
      <c r="N282" s="164"/>
    </row>
    <row r="283" spans="1:14" s="3" customFormat="1" ht="12.2" customHeight="1" x14ac:dyDescent="0.15">
      <c r="A283" s="1" t="s">
        <v>443</v>
      </c>
      <c r="B283" s="2" t="s">
        <v>357</v>
      </c>
      <c r="C283" s="2" t="s">
        <v>295</v>
      </c>
      <c r="D283" s="2" t="s">
        <v>431</v>
      </c>
      <c r="E283" s="6">
        <v>2200</v>
      </c>
      <c r="F283" s="18">
        <v>10500</v>
      </c>
      <c r="G283" s="18">
        <v>382</v>
      </c>
      <c r="H283" s="18">
        <f>103225-8271</f>
        <v>94954</v>
      </c>
      <c r="I283" s="18">
        <v>508</v>
      </c>
      <c r="J283" s="18">
        <v>0</v>
      </c>
      <c r="K283" s="18">
        <v>0</v>
      </c>
      <c r="L283" s="13">
        <f t="shared" si="12"/>
        <v>106344</v>
      </c>
      <c r="M283" s="8"/>
      <c r="N283" s="164"/>
    </row>
    <row r="284" spans="1:14" s="3" customFormat="1" ht="12.2" customHeight="1" x14ac:dyDescent="0.15">
      <c r="A284" s="1" t="s">
        <v>444</v>
      </c>
      <c r="B284" s="2" t="s">
        <v>357</v>
      </c>
      <c r="C284" s="2" t="s">
        <v>296</v>
      </c>
      <c r="D284" s="2" t="s">
        <v>431</v>
      </c>
      <c r="E284" s="6">
        <v>2300</v>
      </c>
      <c r="F284" s="18">
        <v>2861</v>
      </c>
      <c r="G284" s="18"/>
      <c r="H284" s="18">
        <v>4200</v>
      </c>
      <c r="I284" s="18"/>
      <c r="J284" s="18"/>
      <c r="K284" s="18"/>
      <c r="L284" s="13">
        <f t="shared" si="12"/>
        <v>7061</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v>8461</v>
      </c>
      <c r="J286" s="18">
        <v>15625</v>
      </c>
      <c r="K286" s="18"/>
      <c r="L286" s="13">
        <f t="shared" si="12"/>
        <v>24086</v>
      </c>
      <c r="M286" s="8"/>
      <c r="N286" s="164"/>
    </row>
    <row r="287" spans="1:14" s="3" customFormat="1" ht="12.2" customHeight="1" x14ac:dyDescent="0.15">
      <c r="A287" s="1" t="s">
        <v>447</v>
      </c>
      <c r="B287" s="2" t="s">
        <v>357</v>
      </c>
      <c r="C287" s="2" t="s">
        <v>299</v>
      </c>
      <c r="D287" s="2" t="s">
        <v>431</v>
      </c>
      <c r="E287" s="6">
        <v>2600</v>
      </c>
      <c r="F287" s="18"/>
      <c r="G287" s="18"/>
      <c r="H287" s="18"/>
      <c r="I287" s="18"/>
      <c r="J287" s="18">
        <v>11922</v>
      </c>
      <c r="K287" s="18"/>
      <c r="L287" s="13">
        <f t="shared" si="12"/>
        <v>11922</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v>300</v>
      </c>
      <c r="G289" s="18">
        <v>15</v>
      </c>
      <c r="H289" s="18"/>
      <c r="I289" s="18"/>
      <c r="J289" s="18"/>
      <c r="K289" s="18"/>
      <c r="L289" s="13">
        <f>SUM(F289:K289)</f>
        <v>315</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511337</v>
      </c>
      <c r="G291" s="39">
        <f t="shared" si="13"/>
        <v>166601</v>
      </c>
      <c r="H291" s="39">
        <f t="shared" si="13"/>
        <v>627402</v>
      </c>
      <c r="I291" s="39">
        <f t="shared" si="13"/>
        <v>47095</v>
      </c>
      <c r="J291" s="39">
        <f t="shared" si="13"/>
        <v>86714</v>
      </c>
      <c r="K291" s="39">
        <f t="shared" si="13"/>
        <v>0</v>
      </c>
      <c r="L291" s="38">
        <f t="shared" si="13"/>
        <v>1439149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511337</v>
      </c>
      <c r="G339" s="38">
        <f t="shared" si="20"/>
        <v>166601</v>
      </c>
      <c r="H339" s="38">
        <f t="shared" si="20"/>
        <v>627402</v>
      </c>
      <c r="I339" s="38">
        <f t="shared" si="20"/>
        <v>47095</v>
      </c>
      <c r="J339" s="38">
        <f t="shared" si="20"/>
        <v>86714</v>
      </c>
      <c r="K339" s="38">
        <f t="shared" si="20"/>
        <v>0</v>
      </c>
      <c r="L339" s="38">
        <f t="shared" si="20"/>
        <v>1439149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511337</v>
      </c>
      <c r="G353" s="38">
        <f>G339</f>
        <v>166601</v>
      </c>
      <c r="H353" s="38">
        <f>H339</f>
        <v>627402</v>
      </c>
      <c r="I353" s="38">
        <f>I339</f>
        <v>47095</v>
      </c>
      <c r="J353" s="38">
        <f>J339</f>
        <v>86714</v>
      </c>
      <c r="K353" s="38">
        <f>K339+K352</f>
        <v>0</v>
      </c>
      <c r="L353" s="38">
        <f>L339+L352</f>
        <v>1439149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266239+1559</f>
        <v>267798</v>
      </c>
      <c r="I359" s="18">
        <v>0</v>
      </c>
      <c r="J359" s="18">
        <v>560</v>
      </c>
      <c r="K359" s="18"/>
      <c r="L359" s="13">
        <f>SUM(F359:K359)</f>
        <v>268358</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267798</v>
      </c>
      <c r="I363" s="38">
        <f t="shared" si="22"/>
        <v>0</v>
      </c>
      <c r="J363" s="38">
        <f t="shared" si="22"/>
        <v>560</v>
      </c>
      <c r="K363" s="38">
        <f t="shared" si="22"/>
        <v>0</v>
      </c>
      <c r="L363" s="38">
        <f t="shared" si="22"/>
        <v>268358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23000</v>
      </c>
      <c r="H390" s="18"/>
      <c r="I390" s="18"/>
      <c r="J390" s="23" t="s">
        <v>288</v>
      </c>
      <c r="K390" s="23" t="s">
        <v>288</v>
      </c>
      <c r="L390" s="13">
        <f t="shared" si="25"/>
        <v>23000</v>
      </c>
      <c r="M390" s="8"/>
      <c r="N390" s="164"/>
    </row>
    <row r="391" spans="1:14" s="3" customFormat="1" ht="12.2" customHeight="1" x14ac:dyDescent="0.15">
      <c r="A391" s="62" t="s">
        <v>553</v>
      </c>
      <c r="B391" s="2" t="s">
        <v>381</v>
      </c>
      <c r="C391" s="6">
        <v>4</v>
      </c>
      <c r="D391" s="2" t="s">
        <v>432</v>
      </c>
      <c r="E391" s="6"/>
      <c r="F391" s="18"/>
      <c r="G391" s="18">
        <v>90000</v>
      </c>
      <c r="H391" s="18"/>
      <c r="I391" s="18"/>
      <c r="J391" s="23" t="s">
        <v>288</v>
      </c>
      <c r="K391" s="23" t="s">
        <v>288</v>
      </c>
      <c r="L391" s="13">
        <f t="shared" si="25"/>
        <v>90000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v>95000</v>
      </c>
      <c r="H393" s="18"/>
      <c r="I393" s="18"/>
      <c r="J393" s="23" t="s">
        <v>288</v>
      </c>
      <c r="K393" s="23" t="s">
        <v>288</v>
      </c>
      <c r="L393" s="13">
        <f t="shared" si="25"/>
        <v>95000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208000</v>
      </c>
      <c r="H394" s="97">
        <f>SUM(H388:H393)</f>
        <v>0</v>
      </c>
      <c r="I394" s="54">
        <f>SUM(I388:I393)</f>
        <v>0</v>
      </c>
      <c r="J394" s="42" t="s">
        <v>288</v>
      </c>
      <c r="K394" s="42" t="s">
        <v>288</v>
      </c>
      <c r="L394" s="38">
        <f>SUM(L388:L393)</f>
        <v>208000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50000</v>
      </c>
      <c r="H398" s="18"/>
      <c r="I398" s="18"/>
      <c r="J398" s="23" t="s">
        <v>288</v>
      </c>
      <c r="K398" s="23" t="s">
        <v>288</v>
      </c>
      <c r="L398" s="13">
        <f t="shared" si="26"/>
        <v>50000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75000</v>
      </c>
      <c r="H401" s="18"/>
      <c r="I401" s="18"/>
      <c r="J401" s="23" t="s">
        <v>288</v>
      </c>
      <c r="K401" s="23" t="s">
        <v>288</v>
      </c>
      <c r="L401" s="13">
        <f t="shared" si="26"/>
        <v>75000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125000</v>
      </c>
      <c r="H402" s="38">
        <f>SUM(H396:H401)</f>
        <v>0</v>
      </c>
      <c r="I402" s="38">
        <f>SUM(I396:I401)</f>
        <v>0</v>
      </c>
      <c r="J402" s="42" t="s">
        <v>288</v>
      </c>
      <c r="K402" s="42" t="s">
        <v>288</v>
      </c>
      <c r="L402" s="38">
        <f>SUM(L396:L401)</f>
        <v>125000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333000</v>
      </c>
      <c r="H409" s="38">
        <f>H394+H402+H408</f>
        <v>0</v>
      </c>
      <c r="I409" s="38">
        <f>I394+I402+I408</f>
        <v>0</v>
      </c>
      <c r="J409" s="23" t="s">
        <v>288</v>
      </c>
      <c r="K409" s="23" t="s">
        <v>288</v>
      </c>
      <c r="L409" s="38">
        <f>L394+L402+L408</f>
        <v>333000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65523</v>
      </c>
      <c r="I424" s="18"/>
      <c r="J424" s="18"/>
      <c r="K424" s="18"/>
      <c r="L424" s="13">
        <f t="shared" si="29"/>
        <v>65523</v>
      </c>
      <c r="M424" s="8"/>
      <c r="N424" s="164"/>
    </row>
    <row r="425" spans="1:21" s="3" customFormat="1" ht="12.2" customHeight="1" x14ac:dyDescent="0.15">
      <c r="A425" s="62" t="s">
        <v>558</v>
      </c>
      <c r="B425" s="6">
        <v>17</v>
      </c>
      <c r="C425" s="6">
        <v>11</v>
      </c>
      <c r="D425" s="2" t="s">
        <v>432</v>
      </c>
      <c r="E425" s="6"/>
      <c r="F425" s="18"/>
      <c r="G425" s="18"/>
      <c r="H425" s="18" t="s">
        <v>286</v>
      </c>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65523</v>
      </c>
      <c r="I428" s="38">
        <f t="shared" si="30"/>
        <v>0</v>
      </c>
      <c r="J428" s="38">
        <f t="shared" si="30"/>
        <v>0</v>
      </c>
      <c r="K428" s="38">
        <f t="shared" si="30"/>
        <v>0</v>
      </c>
      <c r="L428" s="38">
        <f t="shared" si="30"/>
        <v>65523</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65523</v>
      </c>
      <c r="I435" s="38">
        <f t="shared" si="32"/>
        <v>0</v>
      </c>
      <c r="J435" s="38">
        <f t="shared" si="32"/>
        <v>0</v>
      </c>
      <c r="K435" s="38">
        <f t="shared" si="32"/>
        <v>0</v>
      </c>
      <c r="L435" s="38">
        <f t="shared" si="32"/>
        <v>65523</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1244207</v>
      </c>
      <c r="G441" s="18"/>
      <c r="H441" s="18"/>
      <c r="I441" s="13">
        <f t="shared" si="33"/>
        <v>1244207</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1244207</v>
      </c>
      <c r="G447" s="13">
        <f>SUM(G440:G446)</f>
        <v>0</v>
      </c>
      <c r="H447" s="13">
        <f>SUM(H440:H446)</f>
        <v>0</v>
      </c>
      <c r="I447" s="13">
        <f>SUM(I440:I446)</f>
        <v>1244207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1244207</v>
      </c>
      <c r="G460" s="18"/>
      <c r="H460" s="18"/>
      <c r="I460" s="13">
        <f t="shared" si="34"/>
        <v>1244207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1244207</v>
      </c>
      <c r="G461" s="65">
        <f>SUM(G455:G460)</f>
        <v>0</v>
      </c>
      <c r="H461" s="65">
        <f>SUM(H455:H460)</f>
        <v>0</v>
      </c>
      <c r="I461" s="65">
        <f>SUM(I455:I460)</f>
        <v>1244207</v>
      </c>
      <c r="J461" s="23" t="s">
        <v>288</v>
      </c>
      <c r="K461" s="23" t="s">
        <v>288</v>
      </c>
      <c r="L461" s="23" t="s">
        <v>288</v>
      </c>
      <c r="N461" s="130"/>
    </row>
    <row r="462" spans="1:86" ht="12.2" customHeight="1" thickTop="1" x14ac:dyDescent="0.2">
      <c r="A462" s="40" t="s">
        <v>424</v>
      </c>
      <c r="B462" s="41">
        <v>18</v>
      </c>
      <c r="C462" s="64">
        <v>21</v>
      </c>
      <c r="D462" s="114" t="s">
        <v>432</v>
      </c>
      <c r="E462" s="64"/>
      <c r="F462" s="39">
        <f>F453+F461</f>
        <v>1244207</v>
      </c>
      <c r="G462" s="39">
        <f>G453+G461</f>
        <v>0</v>
      </c>
      <c r="H462" s="39">
        <f>H453+H461</f>
        <v>0</v>
      </c>
      <c r="I462" s="39">
        <f>I453+I461</f>
        <v>1244207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424537</v>
      </c>
      <c r="G466" s="18">
        <v>45620</v>
      </c>
      <c r="H466" s="18">
        <v>0</v>
      </c>
      <c r="I466" s="18"/>
      <c r="J466" s="18">
        <v>976730</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11402273</v>
      </c>
      <c r="G469" s="18">
        <v>259420</v>
      </c>
      <c r="H469" s="18">
        <v>1439149</v>
      </c>
      <c r="I469" s="18"/>
      <c r="J469" s="18">
        <v>333000</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11402273</v>
      </c>
      <c r="G471" s="19">
        <f>SUM(G469:G470)</f>
        <v>259420</v>
      </c>
      <c r="H471" s="19">
        <f>SUM(H469:H470)</f>
        <v>1439149</v>
      </c>
      <c r="I471" s="19">
        <f>SUM(I469:I470)</f>
        <v>0</v>
      </c>
      <c r="J471" s="19">
        <f>SUM(J469:J470)</f>
        <v>333000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11471413</v>
      </c>
      <c r="G473" s="18">
        <v>268358</v>
      </c>
      <c r="H473" s="18">
        <v>1439149</v>
      </c>
      <c r="I473" s="18"/>
      <c r="J473" s="18">
        <v>65523</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11471413</v>
      </c>
      <c r="G475" s="19">
        <f>SUM(G473:G474)</f>
        <v>268358</v>
      </c>
      <c r="H475" s="19">
        <f>SUM(H473:H474)</f>
        <v>1439149</v>
      </c>
      <c r="I475" s="19">
        <f>SUM(I473:I474)</f>
        <v>0</v>
      </c>
      <c r="J475" s="19">
        <f>SUM(J473:J474)</f>
        <v>65523</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355397</v>
      </c>
      <c r="G477" s="19">
        <f>(G466+G471)- G475</f>
        <v>36682</v>
      </c>
      <c r="H477" s="19">
        <f>(H466+H471)- H475</f>
        <v>0</v>
      </c>
      <c r="I477" s="19">
        <f>(I466+I471)- I475</f>
        <v>0</v>
      </c>
      <c r="J477" s="19">
        <f>(J466+J471)- J475</f>
        <v>1244207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890392</v>
      </c>
      <c r="G522" s="18">
        <v>396285</v>
      </c>
      <c r="H522" s="18">
        <v>824047</v>
      </c>
      <c r="I522" s="18">
        <v>28533</v>
      </c>
      <c r="J522" s="18">
        <v>60304</v>
      </c>
      <c r="K522" s="18">
        <v>673</v>
      </c>
      <c r="L522" s="69">
        <f>SUM(F522:K522)</f>
        <v>2200234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375109</v>
      </c>
      <c r="I524" s="18"/>
      <c r="J524" s="18"/>
      <c r="K524" s="18"/>
      <c r="L524" s="69">
        <f>SUM(F524:K524)</f>
        <v>375109</v>
      </c>
      <c r="N524" s="130"/>
    </row>
    <row r="525" spans="1:14" ht="12.2" customHeight="1" thickTop="1" x14ac:dyDescent="0.2">
      <c r="A525" s="97" t="s">
        <v>63</v>
      </c>
      <c r="B525" s="41">
        <v>21</v>
      </c>
      <c r="C525" s="41">
        <v>4</v>
      </c>
      <c r="D525" s="115" t="s">
        <v>432</v>
      </c>
      <c r="E525" s="41"/>
      <c r="F525" s="81">
        <f>SUM(F522:F524)</f>
        <v>890392</v>
      </c>
      <c r="G525" s="81">
        <f t="shared" ref="G525:L525" si="36">SUM(G522:G524)</f>
        <v>396285</v>
      </c>
      <c r="H525" s="81">
        <f t="shared" si="36"/>
        <v>1199156</v>
      </c>
      <c r="I525" s="81">
        <f t="shared" si="36"/>
        <v>28533</v>
      </c>
      <c r="J525" s="81">
        <f t="shared" si="36"/>
        <v>60304</v>
      </c>
      <c r="K525" s="81">
        <f t="shared" si="36"/>
        <v>673</v>
      </c>
      <c r="L525" s="70">
        <f t="shared" si="36"/>
        <v>2575343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82500</v>
      </c>
      <c r="G532" s="18">
        <f>6311+14250+14932</f>
        <v>35493</v>
      </c>
      <c r="H532" s="18"/>
      <c r="I532" s="18"/>
      <c r="J532" s="18"/>
      <c r="K532" s="18"/>
      <c r="L532" s="69">
        <f>SUM(F532:K532)</f>
        <v>117993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82500</v>
      </c>
      <c r="G535" s="70">
        <f t="shared" ref="G535:L535" si="38">SUM(G532:G534)</f>
        <v>35493</v>
      </c>
      <c r="H535" s="70">
        <f t="shared" si="38"/>
        <v>0</v>
      </c>
      <c r="I535" s="70">
        <f t="shared" si="38"/>
        <v>0</v>
      </c>
      <c r="J535" s="70">
        <f t="shared" si="38"/>
        <v>0</v>
      </c>
      <c r="K535" s="70">
        <f t="shared" si="38"/>
        <v>0</v>
      </c>
      <c r="L535" s="70">
        <f t="shared" si="38"/>
        <v>117993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208837</v>
      </c>
      <c r="I542" s="18"/>
      <c r="J542" s="18"/>
      <c r="K542" s="18"/>
      <c r="L542" s="69">
        <f>SUM(F542:K542)</f>
        <v>208837</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208837</v>
      </c>
      <c r="I545" s="140">
        <f t="shared" si="40"/>
        <v>0</v>
      </c>
      <c r="J545" s="140">
        <f t="shared" si="40"/>
        <v>0</v>
      </c>
      <c r="K545" s="140">
        <f t="shared" si="40"/>
        <v>0</v>
      </c>
      <c r="L545" s="140">
        <f t="shared" si="40"/>
        <v>208837</v>
      </c>
      <c r="M545" s="8"/>
      <c r="N545" s="164"/>
    </row>
    <row r="546" spans="1:14" s="3" customFormat="1" ht="12.2" customHeight="1" thickTop="1" x14ac:dyDescent="0.15">
      <c r="A546" s="75" t="s">
        <v>72</v>
      </c>
      <c r="B546" s="41">
        <v>21</v>
      </c>
      <c r="C546" s="41">
        <v>21</v>
      </c>
      <c r="D546" s="115" t="s">
        <v>432</v>
      </c>
      <c r="E546" s="41"/>
      <c r="F546" s="70">
        <f>F525+F530+F535+F540+F545</f>
        <v>972892</v>
      </c>
      <c r="G546" s="70">
        <f t="shared" ref="G546:L546" si="41">G525+G530+G535+G540+G545</f>
        <v>431778</v>
      </c>
      <c r="H546" s="70">
        <f t="shared" si="41"/>
        <v>1407993</v>
      </c>
      <c r="I546" s="70">
        <f t="shared" si="41"/>
        <v>28533</v>
      </c>
      <c r="J546" s="70">
        <f t="shared" si="41"/>
        <v>60304</v>
      </c>
      <c r="K546" s="70">
        <f t="shared" si="41"/>
        <v>673</v>
      </c>
      <c r="L546" s="70">
        <f t="shared" si="41"/>
        <v>2902173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2200234</v>
      </c>
      <c r="G550" s="69">
        <f>L527</f>
        <v>0</v>
      </c>
      <c r="H550" s="69">
        <f>L532</f>
        <v>117993</v>
      </c>
      <c r="I550" s="69">
        <f>L537</f>
        <v>0</v>
      </c>
      <c r="J550" s="69">
        <f>L542</f>
        <v>208837</v>
      </c>
      <c r="K550" s="69">
        <f>SUM(F550:J550)</f>
        <v>2527064</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375109</v>
      </c>
      <c r="G552" s="69">
        <f>L529</f>
        <v>0</v>
      </c>
      <c r="H552" s="69">
        <f>L534</f>
        <v>0</v>
      </c>
      <c r="I552" s="69">
        <f>L539</f>
        <v>0</v>
      </c>
      <c r="J552" s="69">
        <f>L544</f>
        <v>0</v>
      </c>
      <c r="K552" s="69">
        <f>SUM(F552:J552)</f>
        <v>375109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2575343</v>
      </c>
      <c r="G553" s="70">
        <f t="shared" si="42"/>
        <v>0</v>
      </c>
      <c r="H553" s="70">
        <f t="shared" si="42"/>
        <v>117993</v>
      </c>
      <c r="I553" s="70">
        <f t="shared" si="42"/>
        <v>0</v>
      </c>
      <c r="J553" s="70">
        <f t="shared" si="42"/>
        <v>208837</v>
      </c>
      <c r="K553" s="70">
        <f t="shared" si="42"/>
        <v>2902173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2953002</v>
      </c>
      <c r="I576" s="69">
        <f>SUM(F576:H576)</f>
        <v>2953002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282720</v>
      </c>
      <c r="I580" s="69">
        <f t="shared" si="47"/>
        <v>282720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270271+17057</f>
        <v>287328</v>
      </c>
      <c r="G583" s="18"/>
      <c r="H583" s="18">
        <v>92389</v>
      </c>
      <c r="I583" s="69">
        <f t="shared" si="47"/>
        <v>379717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287328</v>
      </c>
      <c r="G589" s="79">
        <f t="shared" ref="G589:I589" si="48">SUM(G576:G588)</f>
        <v>0</v>
      </c>
      <c r="H589" s="79">
        <f t="shared" si="48"/>
        <v>3328111</v>
      </c>
      <c r="I589" s="79">
        <f t="shared" si="48"/>
        <v>3615439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249306</v>
      </c>
      <c r="I592" s="18"/>
      <c r="J592" s="18">
        <v>196348</v>
      </c>
      <c r="K592" s="80">
        <f t="shared" ref="K592:K598" si="49">SUM(H592:J592)</f>
        <v>445654</v>
      </c>
      <c r="L592" s="23" t="s">
        <v>288</v>
      </c>
      <c r="M592" s="8"/>
      <c r="N592" s="164"/>
    </row>
    <row r="593" spans="1:14" s="3" customFormat="1" ht="12.2" customHeight="1" x14ac:dyDescent="0.15">
      <c r="A593" s="3" t="s">
        <v>638</v>
      </c>
      <c r="B593" s="22">
        <v>23</v>
      </c>
      <c r="C593" s="22">
        <v>2</v>
      </c>
      <c r="D593" s="2" t="s">
        <v>432</v>
      </c>
      <c r="E593" s="22"/>
      <c r="F593" s="78">
        <v>2722</v>
      </c>
      <c r="G593" s="79" t="s">
        <v>97</v>
      </c>
      <c r="H593" s="18">
        <v>208837</v>
      </c>
      <c r="I593" s="18"/>
      <c r="J593" s="18"/>
      <c r="K593" s="80">
        <f t="shared" si="49"/>
        <v>208837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458143</v>
      </c>
      <c r="I599" s="81">
        <f>SUM(I592:I598)</f>
        <v>0</v>
      </c>
      <c r="J599" s="81">
        <f>SUM(J592:J598)</f>
        <v>196348</v>
      </c>
      <c r="K599" s="81">
        <f>SUM(K592:K598)</f>
        <v>654491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100155</v>
      </c>
      <c r="I605" s="18"/>
      <c r="J605" s="18"/>
      <c r="K605" s="80">
        <f>SUM(H605:J605)</f>
        <v>100155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100155</v>
      </c>
      <c r="I606" s="81">
        <f>SUM(I603:I605)</f>
        <v>0</v>
      </c>
      <c r="J606" s="81">
        <f>SUM(J603:J605)</f>
        <v>0</v>
      </c>
      <c r="K606" s="81">
        <f>SUM(K603:K605)</f>
        <v>100155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495945</v>
      </c>
      <c r="H618" s="80">
        <f>SUM(F52)</f>
        <v>495945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36682</v>
      </c>
      <c r="H619" s="80">
        <f>SUM(G52)</f>
        <v>36682</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1244207</v>
      </c>
      <c r="H622" s="80">
        <f>SUM(J52)</f>
        <v>1244207</v>
      </c>
      <c r="I622" s="87" t="s">
        <v>875</v>
      </c>
      <c r="J622" s="80">
        <f>G622-H622</f>
        <v>0</v>
      </c>
      <c r="K622" s="80"/>
      <c r="L622" s="80"/>
      <c r="M622" s="8"/>
    </row>
    <row r="623" spans="1:14" s="3" customFormat="1" ht="12.2" customHeight="1" x14ac:dyDescent="0.15">
      <c r="A623" s="74"/>
      <c r="B623" s="22"/>
      <c r="C623" s="22"/>
      <c r="D623" s="22"/>
      <c r="E623" s="22"/>
      <c r="F623" s="87" t="s">
        <v>861</v>
      </c>
      <c r="G623" s="80">
        <f>F51</f>
        <v>355397</v>
      </c>
      <c r="H623" s="80">
        <f>F477</f>
        <v>355397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36682</v>
      </c>
      <c r="H624" s="80">
        <f>G477</f>
        <v>36682</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1244207</v>
      </c>
      <c r="H627" s="80">
        <f>J477</f>
        <v>1244207</v>
      </c>
      <c r="I627" s="87" t="s">
        <v>105</v>
      </c>
      <c r="J627" s="80">
        <f t="shared" si="51"/>
        <v>0</v>
      </c>
      <c r="K627" s="67"/>
      <c r="L627" s="69"/>
      <c r="M627" s="8"/>
    </row>
    <row r="628" spans="1:13" s="3" customFormat="1" ht="12.2" customHeight="1" x14ac:dyDescent="0.15">
      <c r="A628" s="21"/>
      <c r="B628" s="22"/>
      <c r="C628" s="22"/>
      <c r="D628" s="22"/>
      <c r="E628" s="22"/>
      <c r="F628" s="86" t="s">
        <v>658</v>
      </c>
      <c r="G628" s="80">
        <f>F194</f>
        <v>11402273</v>
      </c>
      <c r="H628" s="80">
        <f>SUM(F469)</f>
        <v>11402273</v>
      </c>
      <c r="I628" s="87" t="s">
        <v>106</v>
      </c>
      <c r="J628" s="80">
        <f>G628-H628</f>
        <v>0</v>
      </c>
      <c r="K628" s="67"/>
      <c r="L628" s="69"/>
      <c r="M628" s="8"/>
    </row>
    <row r="629" spans="1:13" s="3" customFormat="1" ht="12.2" customHeight="1" x14ac:dyDescent="0.15">
      <c r="A629" s="21"/>
      <c r="B629" s="22"/>
      <c r="C629" s="22"/>
      <c r="D629" s="22"/>
      <c r="E629" s="22"/>
      <c r="F629" s="86" t="s">
        <v>659</v>
      </c>
      <c r="G629" s="80">
        <f>G194</f>
        <v>259420</v>
      </c>
      <c r="H629" s="80">
        <f>SUM(G469)</f>
        <v>259420</v>
      </c>
      <c r="I629" s="87" t="s">
        <v>107</v>
      </c>
      <c r="J629" s="80">
        <f>G629-H629</f>
        <v>0</v>
      </c>
      <c r="K629" s="67"/>
      <c r="L629" s="69"/>
      <c r="M629" s="8"/>
    </row>
    <row r="630" spans="1:13" s="3" customFormat="1" ht="12.2" customHeight="1" x14ac:dyDescent="0.15">
      <c r="A630" s="21"/>
      <c r="B630" s="22"/>
      <c r="C630" s="22"/>
      <c r="D630" s="22"/>
      <c r="E630" s="22"/>
      <c r="F630" s="86" t="s">
        <v>660</v>
      </c>
      <c r="G630" s="80">
        <f>H194</f>
        <v>1439149</v>
      </c>
      <c r="H630" s="80">
        <f>SUM(H469)</f>
        <v>1439149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333000</v>
      </c>
      <c r="H632" s="80">
        <f>SUM(J469)</f>
        <v>333000</v>
      </c>
      <c r="I632" s="87" t="s">
        <v>110</v>
      </c>
      <c r="J632" s="80">
        <f>G632-H632</f>
        <v>0</v>
      </c>
      <c r="K632" s="67"/>
      <c r="L632" s="69"/>
      <c r="M632" s="8"/>
    </row>
    <row r="633" spans="1:13" s="3" customFormat="1" ht="12.2" customHeight="1" x14ac:dyDescent="0.15">
      <c r="A633" s="21"/>
      <c r="B633" s="22"/>
      <c r="C633" s="22"/>
      <c r="D633" s="22"/>
      <c r="E633" s="22"/>
      <c r="F633" s="86" t="s">
        <v>394</v>
      </c>
      <c r="G633" s="80">
        <f>SUM(L272)</f>
        <v>11471413</v>
      </c>
      <c r="H633" s="80">
        <f>SUM(F473)</f>
        <v>11471413</v>
      </c>
      <c r="I633" s="87" t="s">
        <v>111</v>
      </c>
      <c r="J633" s="80">
        <f t="shared" si="51"/>
        <v>0</v>
      </c>
      <c r="K633" s="67"/>
      <c r="L633" s="69"/>
      <c r="M633" s="8"/>
    </row>
    <row r="634" spans="1:13" s="3" customFormat="1" ht="12.2" customHeight="1" x14ac:dyDescent="0.15">
      <c r="A634" s="21"/>
      <c r="B634" s="22"/>
      <c r="C634" s="22"/>
      <c r="D634" s="22"/>
      <c r="E634" s="22"/>
      <c r="F634" s="86" t="s">
        <v>395</v>
      </c>
      <c r="G634" s="80">
        <f>SUM(L353)</f>
        <v>1439149</v>
      </c>
      <c r="H634" s="80">
        <f>SUM(H473)</f>
        <v>1439149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268358</v>
      </c>
      <c r="H636" s="80">
        <f>SUM(G473)</f>
        <v>268358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333000</v>
      </c>
      <c r="H638" s="108">
        <f>SUM(J469)</f>
        <v>333000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65523</v>
      </c>
      <c r="H639" s="108">
        <f>SUM(J473)</f>
        <v>65523</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1244207</v>
      </c>
      <c r="H640" s="80">
        <f>SUM(F462)</f>
        <v>1244207</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1244207</v>
      </c>
      <c r="H643" s="80">
        <f>SUM(I462)</f>
        <v>1244207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333000</v>
      </c>
      <c r="H646" s="80">
        <f>G409</f>
        <v>333000</v>
      </c>
      <c r="I646" s="87" t="s">
        <v>481</v>
      </c>
      <c r="J646" s="80">
        <f t="shared" si="51"/>
        <v>0</v>
      </c>
      <c r="K646" s="67"/>
      <c r="L646" s="69"/>
      <c r="M646" s="8"/>
    </row>
    <row r="647" spans="1:13" s="3" customFormat="1" ht="12.2" customHeight="1" x14ac:dyDescent="0.15">
      <c r="A647" s="21"/>
      <c r="B647" s="22"/>
      <c r="C647" s="22"/>
      <c r="D647" s="22"/>
      <c r="E647" s="22"/>
      <c r="F647" s="86" t="s">
        <v>662</v>
      </c>
      <c r="G647" s="80">
        <f>J194</f>
        <v>333000</v>
      </c>
      <c r="H647" s="80">
        <f>L409</f>
        <v>333000</v>
      </c>
      <c r="I647" s="87" t="s">
        <v>477</v>
      </c>
      <c r="J647" s="80">
        <f t="shared" si="51"/>
        <v>0</v>
      </c>
      <c r="K647" s="67"/>
      <c r="L647" s="69"/>
      <c r="M647" s="8"/>
    </row>
    <row r="648" spans="1:13" s="3" customFormat="1" ht="12.2" customHeight="1" x14ac:dyDescent="0.15">
      <c r="A648" s="21"/>
      <c r="B648" s="22"/>
      <c r="C648" s="22"/>
      <c r="D648" s="22"/>
      <c r="E648" s="22"/>
      <c r="F648" s="86" t="s">
        <v>51</v>
      </c>
      <c r="G648" s="80">
        <f>K599</f>
        <v>654491</v>
      </c>
      <c r="H648" s="80">
        <f>L209+L227+L245</f>
        <v>654491</v>
      </c>
      <c r="I648" s="87" t="s">
        <v>396</v>
      </c>
      <c r="J648" s="80">
        <f t="shared" si="51"/>
        <v>0</v>
      </c>
      <c r="K648" s="67"/>
      <c r="L648" s="69"/>
      <c r="M648" s="8"/>
    </row>
    <row r="649" spans="1:13" s="3" customFormat="1" ht="12.2" customHeight="1" x14ac:dyDescent="0.15">
      <c r="A649" s="21"/>
      <c r="B649" s="22"/>
      <c r="C649" s="22"/>
      <c r="D649" s="22"/>
      <c r="E649" s="22"/>
      <c r="F649" s="86" t="s">
        <v>52</v>
      </c>
      <c r="G649" s="80">
        <f>K606</f>
        <v>100155</v>
      </c>
      <c r="H649" s="80">
        <f>(J258+J339)-(J256+J337)</f>
        <v>100155</v>
      </c>
      <c r="I649" s="87" t="s">
        <v>699</v>
      </c>
      <c r="J649" s="80">
        <f t="shared" si="51"/>
        <v>0</v>
      </c>
      <c r="K649" s="67"/>
      <c r="L649" s="69"/>
      <c r="M649" s="8"/>
    </row>
    <row r="650" spans="1:13" s="3" customFormat="1" ht="12.2" customHeight="1" x14ac:dyDescent="0.15">
      <c r="A650" s="21"/>
      <c r="B650" s="22"/>
      <c r="C650" s="22"/>
      <c r="D650" s="22"/>
      <c r="E650" s="22"/>
      <c r="F650" s="86" t="s">
        <v>387</v>
      </c>
      <c r="G650" s="80">
        <f>L209</f>
        <v>458143</v>
      </c>
      <c r="H650" s="80">
        <f>H599</f>
        <v>458143</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196348</v>
      </c>
      <c r="H652" s="80">
        <f>J599</f>
        <v>196348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333000</v>
      </c>
      <c r="H656" s="80">
        <f>K267+K348</f>
        <v>333000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9321461</v>
      </c>
      <c r="G661" s="13">
        <f>(L230+L310+L360)</f>
        <v>0</v>
      </c>
      <c r="H661" s="13">
        <f>(L248+L329+L361)</f>
        <v>3524459</v>
      </c>
      <c r="I661" s="13">
        <f>SUM(F661:H661)</f>
        <v>12845920</v>
      </c>
      <c r="J661" s="13"/>
      <c r="K661" s="13"/>
      <c r="L661" s="13"/>
      <c r="M661" s="9"/>
    </row>
    <row r="662" spans="1:13" s="3" customFormat="1" ht="12.2" customHeight="1" x14ac:dyDescent="0.2">
      <c r="A662" s="1" t="s">
        <v>127</v>
      </c>
      <c r="F662" s="13">
        <f>(L359/IF(SUM(L359:L361)=0,1,SUM(L359:L361))*(SUM(G97:G110)))</f>
        <v>77880</v>
      </c>
      <c r="G662" s="13">
        <f>(L360/IF(SUM(L359:L361)=0,1,SUM(L359:L361))*(SUM(G97:G110)))</f>
        <v>0</v>
      </c>
      <c r="H662" s="13">
        <f>(L361/IF(SUM(L359:L361)=0,1,SUM(L359:L361))*(SUM(G97:G110)))</f>
        <v>0</v>
      </c>
      <c r="I662" s="13">
        <f>SUM(F662:H662)</f>
        <v>77880</v>
      </c>
      <c r="J662"/>
      <c r="K662" s="13"/>
      <c r="L662" s="13"/>
      <c r="M662" s="8"/>
    </row>
    <row r="663" spans="1:13" s="3" customFormat="1" ht="12.2" customHeight="1" x14ac:dyDescent="0.2">
      <c r="A663" s="1" t="s">
        <v>128</v>
      </c>
      <c r="F663" s="13">
        <f>(L209+L288)-(J209+J288)</f>
        <v>457828</v>
      </c>
      <c r="G663" s="13">
        <f>(L227+L307)-(J227+J307)</f>
        <v>0</v>
      </c>
      <c r="H663" s="13">
        <f>(L245+L326)-(J245+J326)</f>
        <v>196213</v>
      </c>
      <c r="I663" s="13">
        <f>SUM(F663:H663)</f>
        <v>654041</v>
      </c>
      <c r="J663"/>
      <c r="K663" s="13"/>
      <c r="L663" s="13"/>
      <c r="M663" s="9"/>
    </row>
    <row r="664" spans="1:13" s="3" customFormat="1" ht="12.2" customHeight="1" x14ac:dyDescent="0.15">
      <c r="A664" s="141" t="s">
        <v>129</v>
      </c>
      <c r="B664" s="124"/>
      <c r="C664" s="124"/>
      <c r="D664" s="124"/>
      <c r="E664" s="124"/>
      <c r="F664" s="142">
        <f>SUM(F576:F588)+SUM(H603:H605)+SUM(L612)</f>
        <v>387483</v>
      </c>
      <c r="G664" s="142">
        <f>SUM(G576:G588)+SUM(I603:I605)+L613</f>
        <v>0</v>
      </c>
      <c r="H664" s="142">
        <f>SUM(H576:H588)+SUM(J603:J605)+L614</f>
        <v>3328111</v>
      </c>
      <c r="I664" s="13">
        <f>SUM(F664:H664)</f>
        <v>3715594</v>
      </c>
      <c r="J664" s="13"/>
      <c r="K664" s="13"/>
      <c r="L664" s="13"/>
      <c r="M664" s="9"/>
    </row>
    <row r="665" spans="1:13" s="3" customFormat="1" ht="12.2" customHeight="1" x14ac:dyDescent="0.15">
      <c r="A665" s="1" t="s">
        <v>130</v>
      </c>
      <c r="F665" s="13">
        <f>F661-SUM(F662:F664)</f>
        <v>8398270</v>
      </c>
      <c r="G665" s="13">
        <f>G661-SUM(G662:G664)</f>
        <v>0</v>
      </c>
      <c r="H665" s="13">
        <f>H661-SUM(H662:H664)</f>
        <v>135</v>
      </c>
      <c r="I665" s="13">
        <f>I661-SUM(I662:I664)</f>
        <v>8398405</v>
      </c>
      <c r="J665" s="13"/>
      <c r="K665" s="13"/>
      <c r="L665" s="13"/>
      <c r="M665" s="8"/>
    </row>
    <row r="666" spans="1:13" s="3" customFormat="1" ht="12.2" customHeight="1" x14ac:dyDescent="0.2">
      <c r="A666" s="1" t="s">
        <v>131</v>
      </c>
      <c r="F666" s="182">
        <v>422.45</v>
      </c>
      <c r="G666" s="183">
        <v>0</v>
      </c>
      <c r="H666" s="183">
        <v>0</v>
      </c>
      <c r="I666" s="13">
        <f>SUM(F666:H666)</f>
        <v>422.45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19879.91</v>
      </c>
      <c r="G668" s="13" t="e">
        <f>ROUND(G665/G666,2)</f>
        <v>#DIV/0!</v>
      </c>
      <c r="H668" s="13" t="e">
        <f>ROUND(H665/H666,2)</f>
        <v>#DIV/0!</v>
      </c>
      <c r="I668" s="13">
        <f>ROUND(I665/I666,2)</f>
        <v>19880.23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-135</v>
      </c>
      <c r="I670" s="13">
        <f>SUM(F670:H670)</f>
        <v>-135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19879.91</v>
      </c>
      <c r="G673" s="13" t="e">
        <f>ROUND((G665+G670)/(G666+G671),2)</f>
        <v>#DIV/0!</v>
      </c>
      <c r="H673" s="13" t="e">
        <f>ROUND((H665+H670)/(H666+H671),2)</f>
        <v>#DIV/0!</v>
      </c>
      <c r="I673" s="13">
        <f>ROUND((I665+I670)/(I666+I671),2)</f>
        <v>19879.91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164602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143373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21229</f>
        <v>21229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Wakefield</v>
      </c>
      <c r="C5" s="321"/>
      <c r="D5" s="321"/>
      <c r="E5" s="321"/>
      <c r="F5" s="321"/>
    </row>
    <row r="8" spans="1:9" ht="18" x14ac:dyDescent="0.25">
      <c r="A8" s="239" t="s">
        <v>1548</v>
      </c>
      <c r="F8" s="246" t="s">
        <v>1566</v>
      </c>
    </row>
    <row r="9" spans="1:9" ht="15" x14ac:dyDescent="0.2">
      <c r="A9" s="237" t="s">
        <v>1549</v>
      </c>
      <c r="B9" s="240">
        <f>'DOE25'!G97</f>
        <v>77880</v>
      </c>
      <c r="F9" s="237" t="s">
        <v>1562</v>
      </c>
    </row>
    <row r="10" spans="1:9" ht="15" x14ac:dyDescent="0.2">
      <c r="A10" s="237" t="s">
        <v>1550</v>
      </c>
      <c r="B10" s="240">
        <f>'DOE25'!G112-'DOE25'!G97</f>
        <v>0</v>
      </c>
      <c r="F10" s="237" t="s">
        <v>1563</v>
      </c>
    </row>
    <row r="11" spans="1:9" ht="15" x14ac:dyDescent="0.2">
      <c r="A11" s="237" t="s">
        <v>1551</v>
      </c>
      <c r="B11" s="240">
        <f>'DOE25'!G140</f>
        <v>5625</v>
      </c>
      <c r="F11" s="237" t="s">
        <v>1564</v>
      </c>
    </row>
    <row r="12" spans="1:9" ht="15" x14ac:dyDescent="0.2">
      <c r="A12" s="237" t="s">
        <v>1552</v>
      </c>
      <c r="B12" s="240">
        <f>'DOE25'!G170</f>
        <v>175915</v>
      </c>
      <c r="F12" s="237" t="s">
        <v>1565</v>
      </c>
    </row>
    <row r="13" spans="1:9" ht="15" x14ac:dyDescent="0.2">
      <c r="A13" s="237" t="s">
        <v>1553</v>
      </c>
      <c r="B13" s="240">
        <f>'DOE25'!G193-'DOE25'!G180</f>
        <v>0</v>
      </c>
      <c r="F13" s="237" t="s">
        <v>1575</v>
      </c>
    </row>
    <row r="14" spans="1:9" ht="18" x14ac:dyDescent="0.25">
      <c r="A14" s="239" t="s">
        <v>732</v>
      </c>
      <c r="B14" s="241">
        <f>SUM(B9:B13)</f>
        <v>259420</v>
      </c>
    </row>
    <row r="16" spans="1:9" ht="18" x14ac:dyDescent="0.25">
      <c r="A16" s="239" t="s">
        <v>783</v>
      </c>
      <c r="F16" s="246" t="s">
        <v>1567</v>
      </c>
    </row>
    <row r="17" spans="1:6" ht="15" x14ac:dyDescent="0.2">
      <c r="A17" s="237" t="s">
        <v>1554</v>
      </c>
      <c r="B17" s="240">
        <f>'DOE25'!L363-'DOE25'!L362</f>
        <v>268358</v>
      </c>
      <c r="F17" s="237" t="s">
        <v>1568</v>
      </c>
    </row>
    <row r="18" spans="1:6" ht="15" x14ac:dyDescent="0.2">
      <c r="A18" s="237" t="s">
        <v>1555</v>
      </c>
      <c r="B18" s="250">
        <v>0</v>
      </c>
      <c r="F18" s="246" t="s">
        <v>1592</v>
      </c>
    </row>
    <row r="19" spans="1:6" ht="18" x14ac:dyDescent="0.25">
      <c r="A19" s="239" t="s">
        <v>725</v>
      </c>
      <c r="B19" s="241">
        <f>SUM(B17:B18)</f>
        <v>268358</v>
      </c>
    </row>
    <row r="21" spans="1:6" ht="18.75" thickBot="1" x14ac:dyDescent="0.3">
      <c r="A21" s="239" t="s">
        <v>1556</v>
      </c>
    </row>
    <row r="22" spans="1:6" ht="18.75" thickTop="1" x14ac:dyDescent="0.25">
      <c r="A22" s="239" t="s">
        <v>1557</v>
      </c>
      <c r="B22" s="245">
        <f>B14-B19</f>
        <v>-8938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45620</v>
      </c>
      <c r="F31" s="237" t="s">
        <v>1572</v>
      </c>
    </row>
    <row r="33" spans="1:6" ht="15" x14ac:dyDescent="0.2">
      <c r="A33" s="237" t="s">
        <v>1790</v>
      </c>
      <c r="B33" s="240">
        <f>'DOE25'!G477</f>
        <v>36682</v>
      </c>
      <c r="F33" s="237" t="s">
        <v>1573</v>
      </c>
    </row>
    <row r="36" spans="1:6" ht="15" x14ac:dyDescent="0.2">
      <c r="A36" s="237" t="s">
        <v>1559</v>
      </c>
      <c r="B36" s="251">
        <v>9320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Wakefield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2101431</v>
      </c>
      <c r="C9" s="166">
        <f>'DOE25'!G198+'DOE25'!G216+'DOE25'!G234+'DOE25'!G277+'DOE25'!G296+'DOE25'!G315</f>
        <v>982874</v>
      </c>
    </row>
    <row r="10" spans="1:3" x14ac:dyDescent="0.2">
      <c r="A10" t="s">
        <v>772</v>
      </c>
      <c r="B10" s="176">
        <f>1630532+307114+34141</f>
        <v>1971787</v>
      </c>
      <c r="C10" s="176">
        <v>874680</v>
      </c>
    </row>
    <row r="11" spans="1:3" x14ac:dyDescent="0.2">
      <c r="A11" t="s">
        <v>773</v>
      </c>
      <c r="B11" s="176">
        <f>84753</f>
        <v>84753</v>
      </c>
      <c r="C11" s="176">
        <v>108194</v>
      </c>
    </row>
    <row r="12" spans="1:3" x14ac:dyDescent="0.2">
      <c r="A12" t="s">
        <v>774</v>
      </c>
      <c r="B12" s="176">
        <v>44891</v>
      </c>
      <c r="C12" s="176">
        <v>0</v>
      </c>
    </row>
    <row r="13" spans="1:3" x14ac:dyDescent="0.2">
      <c r="A13" t="str">
        <f>IF(B9=B13,IF(C9=C13,"Check Total OK","Check Total Error"),"Check Total Error")</f>
        <v>Check Total OK</v>
      </c>
      <c r="B13" s="168">
        <f>SUM(B10:B12)</f>
        <v>2101431</v>
      </c>
      <c r="C13" s="168">
        <f>SUM(C10:C12)</f>
        <v>982874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890392</v>
      </c>
      <c r="C18" s="166">
        <f>'DOE25'!G199+'DOE25'!G217+'DOE25'!G235+'DOE25'!G278+'DOE25'!G297+'DOE25'!G316</f>
        <v>396285</v>
      </c>
    </row>
    <row r="19" spans="1:3" x14ac:dyDescent="0.2">
      <c r="A19" t="s">
        <v>772</v>
      </c>
      <c r="B19" s="176">
        <f>363354+24883-50</f>
        <v>388187</v>
      </c>
      <c r="C19" s="176">
        <f>72706+3229+26174+1120+73272</f>
        <v>176501</v>
      </c>
    </row>
    <row r="20" spans="1:3" x14ac:dyDescent="0.2">
      <c r="A20" t="s">
        <v>773</v>
      </c>
      <c r="B20" s="176">
        <f>258541+242014+1650</f>
        <v>502205</v>
      </c>
      <c r="C20" s="20">
        <v>219784</v>
      </c>
    </row>
    <row r="21" spans="1:3" x14ac:dyDescent="0.2">
      <c r="A21" t="s">
        <v>774</v>
      </c>
      <c r="B21" s="176"/>
      <c r="C21" s="176"/>
    </row>
    <row r="22" spans="1:3" x14ac:dyDescent="0.2">
      <c r="A22" t="str">
        <f>IF(B18=B22,IF(C18=C22,"Check Total OK","Check Total Error"),"Check Total Error")</f>
        <v>Check Total OK</v>
      </c>
      <c r="B22" s="168">
        <f>SUM(B19:B21)</f>
        <v>890392</v>
      </c>
      <c r="C22" s="168">
        <f>SUM(C19:C21)</f>
        <v>396285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19840</v>
      </c>
      <c r="C36" s="172">
        <f>'DOE25'!G201+'DOE25'!G219+'DOE25'!G237+'DOE25'!G280+'DOE25'!G299+'DOE25'!G318</f>
        <v>4485</v>
      </c>
    </row>
    <row r="37" spans="1:3" x14ac:dyDescent="0.2">
      <c r="A37" t="s">
        <v>772</v>
      </c>
      <c r="B37" s="176">
        <f>11840+8000</f>
        <v>19840</v>
      </c>
      <c r="C37" s="176">
        <v>4485</v>
      </c>
    </row>
    <row r="38" spans="1:3" x14ac:dyDescent="0.2">
      <c r="A38" t="s">
        <v>773</v>
      </c>
      <c r="B38" s="176">
        <v>0</v>
      </c>
      <c r="C38" s="176"/>
    </row>
    <row r="39" spans="1:3" x14ac:dyDescent="0.2">
      <c r="A39" t="s">
        <v>774</v>
      </c>
      <c r="B39" s="176">
        <v>0</v>
      </c>
      <c r="C39" s="176"/>
    </row>
    <row r="40" spans="1:3" x14ac:dyDescent="0.2">
      <c r="A40" t="str">
        <f>IF(B36=B40,IF(C36=C40,"Check Total OK","Check Total Error"),"Check Total Error")</f>
        <v>Check Total OK</v>
      </c>
      <c r="B40" s="168">
        <f>SUM(B37:B39)</f>
        <v>19840</v>
      </c>
      <c r="C40" s="168">
        <f>SUM(C37:C39)</f>
        <v>4485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Wakefield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8250716</v>
      </c>
      <c r="D5" s="19">
        <f>SUM('DOE25'!L198:L201)+SUM('DOE25'!L216:L219)+SUM('DOE25'!L234:L237)-F5-G5-H5</f>
        <v>8248149</v>
      </c>
      <c r="E5" s="179"/>
      <c r="F5" s="180"/>
      <c r="G5" s="19">
        <f>SUM('DOE25'!J198:J201)+SUM('DOE25'!J216:J219)+SUM('DOE25'!J234:J237)</f>
        <v>1894</v>
      </c>
      <c r="H5" s="19">
        <f>SUM('DOE25'!K198:K201)+SUM('DOE25'!K216:K219)+SUM('DOE25'!K234:K237)</f>
        <v>673</v>
      </c>
      <c r="I5" s="191"/>
    </row>
    <row r="6" spans="1:9" x14ac:dyDescent="0.2">
      <c r="A6" s="31">
        <v>2100</v>
      </c>
      <c r="B6" t="s">
        <v>793</v>
      </c>
      <c r="C6" s="205">
        <f t="shared" si="0"/>
        <v>253799</v>
      </c>
      <c r="D6" s="19">
        <f>'DOE25'!L203+'DOE25'!L221+'DOE25'!L239-F6-G6-H6</f>
        <v>253500</v>
      </c>
      <c r="E6" s="179"/>
      <c r="F6" s="180"/>
      <c r="G6" s="19">
        <f>'DOE25'!J203+'DOE25'!J221+'DOE25'!J239</f>
        <v>0</v>
      </c>
      <c r="H6" s="19">
        <f>'DOE25'!K203+'DOE25'!K221+'DOE25'!K239</f>
        <v>299</v>
      </c>
      <c r="I6" s="191"/>
    </row>
    <row r="7" spans="1:9" x14ac:dyDescent="0.2">
      <c r="A7" s="31">
        <v>2200</v>
      </c>
      <c r="B7" t="s">
        <v>817</v>
      </c>
      <c r="C7" s="205">
        <f t="shared" si="0"/>
        <v>123262</v>
      </c>
      <c r="D7" s="19">
        <f>'DOE25'!L204+'DOE25'!L222+'DOE25'!L240-F7-G7-H7</f>
        <v>121027</v>
      </c>
      <c r="E7" s="179"/>
      <c r="F7" s="180"/>
      <c r="G7" s="19">
        <f>'DOE25'!J204+'DOE25'!J222+'DOE25'!J240</f>
        <v>2235</v>
      </c>
      <c r="H7" s="19">
        <f>'DOE25'!K204+'DOE25'!K222+'DOE25'!K240</f>
        <v>0</v>
      </c>
      <c r="I7" s="191"/>
    </row>
    <row r="8" spans="1:9" x14ac:dyDescent="0.2">
      <c r="A8" s="31">
        <v>2300</v>
      </c>
      <c r="B8" t="s">
        <v>794</v>
      </c>
      <c r="C8" s="205">
        <f t="shared" si="0"/>
        <v>477260</v>
      </c>
      <c r="D8" s="179"/>
      <c r="E8" s="19">
        <f>'DOE25'!L205+'DOE25'!L223+'DOE25'!L241-F8-G8-H8-D9-D11</f>
        <v>470493</v>
      </c>
      <c r="F8" s="180"/>
      <c r="G8" s="19">
        <f>'DOE25'!J205+'DOE25'!J223+'DOE25'!J241</f>
        <v>0</v>
      </c>
      <c r="H8" s="19">
        <f>'DOE25'!K205+'DOE25'!K223+'DOE25'!K241</f>
        <v>6767</v>
      </c>
      <c r="I8" s="191"/>
    </row>
    <row r="9" spans="1:9" ht="14.25" x14ac:dyDescent="0.2">
      <c r="A9" s="31">
        <v>2310</v>
      </c>
      <c r="B9" s="71" t="s">
        <v>884</v>
      </c>
      <c r="C9" s="205">
        <f t="shared" si="0"/>
        <v>74405</v>
      </c>
      <c r="D9" s="180">
        <v>74405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355149</v>
      </c>
      <c r="D12" s="19">
        <f>'DOE25'!L206+'DOE25'!L224+'DOE25'!L242-F12-G12-H12</f>
        <v>352999</v>
      </c>
      <c r="E12" s="179"/>
      <c r="F12" s="180"/>
      <c r="G12" s="19">
        <f>'DOE25'!J206+'DOE25'!J224+'DOE25'!J242</f>
        <v>0</v>
      </c>
      <c r="H12" s="19">
        <f>'DOE25'!K206+'DOE25'!K224+'DOE25'!K242</f>
        <v>2150</v>
      </c>
      <c r="I12" s="191"/>
    </row>
    <row r="13" spans="1:9" x14ac:dyDescent="0.2">
      <c r="A13" s="31">
        <v>2500</v>
      </c>
      <c r="B13" t="s">
        <v>795</v>
      </c>
      <c r="C13" s="205">
        <f t="shared" si="0"/>
        <v>226750</v>
      </c>
      <c r="D13" s="179"/>
      <c r="E13" s="19">
        <f>'DOE25'!L207+'DOE25'!L225+'DOE25'!L243-F13-G13-H13</f>
        <v>221409</v>
      </c>
      <c r="F13" s="180"/>
      <c r="G13" s="19">
        <f>'DOE25'!J207+'DOE25'!J225+'DOE25'!J243</f>
        <v>3048</v>
      </c>
      <c r="H13" s="19">
        <f>'DOE25'!K207+'DOE25'!K225+'DOE25'!K243</f>
        <v>2293</v>
      </c>
      <c r="I13" s="191"/>
    </row>
    <row r="14" spans="1:9" x14ac:dyDescent="0.2">
      <c r="A14" s="31">
        <v>2600</v>
      </c>
      <c r="B14" t="s">
        <v>815</v>
      </c>
      <c r="C14" s="205">
        <f t="shared" si="0"/>
        <v>586963</v>
      </c>
      <c r="D14" s="19">
        <f>'DOE25'!L208+'DOE25'!L226+'DOE25'!L244-F14-G14-H14</f>
        <v>583374</v>
      </c>
      <c r="E14" s="179"/>
      <c r="F14" s="180"/>
      <c r="G14" s="19">
        <f>'DOE25'!J208+'DOE25'!J226+'DOE25'!J244</f>
        <v>3589</v>
      </c>
      <c r="H14" s="19">
        <f>'DOE25'!K208+'DOE25'!K226+'DOE25'!K244</f>
        <v>0</v>
      </c>
      <c r="I14" s="191"/>
    </row>
    <row r="15" spans="1:9" x14ac:dyDescent="0.2">
      <c r="A15" s="31">
        <v>2700</v>
      </c>
      <c r="B15" t="s">
        <v>796</v>
      </c>
      <c r="C15" s="205">
        <f t="shared" si="0"/>
        <v>654491</v>
      </c>
      <c r="D15" s="19">
        <f>'DOE25'!L209+'DOE25'!L227+'DOE25'!L245-F15-G15-H15</f>
        <v>653911</v>
      </c>
      <c r="E15" s="179"/>
      <c r="F15" s="180"/>
      <c r="G15" s="19">
        <f>'DOE25'!J209+'DOE25'!J227+'DOE25'!J245</f>
        <v>450</v>
      </c>
      <c r="H15" s="19">
        <f>'DOE25'!K209+'DOE25'!K227+'DOE25'!K245</f>
        <v>130</v>
      </c>
      <c r="I15" s="191"/>
    </row>
    <row r="16" spans="1:9" x14ac:dyDescent="0.2">
      <c r="A16" s="31">
        <v>2800</v>
      </c>
      <c r="B16" t="s">
        <v>797</v>
      </c>
      <c r="C16" s="205">
        <f t="shared" si="0"/>
        <v>135618</v>
      </c>
      <c r="D16" s="179"/>
      <c r="E16" s="19">
        <f>'DOE25'!L210+'DOE25'!L228+'DOE25'!L246-F16-G16-H16</f>
        <v>133393</v>
      </c>
      <c r="F16" s="180"/>
      <c r="G16" s="19">
        <f>'DOE25'!J210+'DOE25'!J228+'DOE25'!J246</f>
        <v>2225</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164326</v>
      </c>
      <c r="D29" s="211">
        <f>'DOE25'!L359+'DOE25'!L360+'DOE25'!L361-'DOE25'!I368-F29-G29-H29-F39</f>
        <v>163766</v>
      </c>
      <c r="E29" s="179"/>
      <c r="F29" s="179"/>
      <c r="G29" s="19">
        <f>'DOE25'!J359+'DOE25'!J360+'DOE25'!J361</f>
        <v>560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1439149</v>
      </c>
      <c r="D31" s="19">
        <f>'DOE25'!L291+'DOE25'!L310+'DOE25'!L329+'DOE25'!L334+'DOE25'!L335+'DOE25'!L336-F31-G31-H31</f>
        <v>1352435</v>
      </c>
      <c r="E31" s="179"/>
      <c r="F31" s="180"/>
      <c r="G31" s="19">
        <f>'DOE25'!J291+'DOE25'!J310+'DOE25'!J329+'DOE25'!J334+'DOE25'!J335+'DOE25'!J336</f>
        <v>86714</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11803566</v>
      </c>
      <c r="E33" s="181">
        <f t="shared" si="1"/>
        <v>825295</v>
      </c>
      <c r="F33" s="181">
        <f t="shared" si="1"/>
        <v>0</v>
      </c>
      <c r="G33" s="181">
        <f t="shared" si="1"/>
        <v>100715</v>
      </c>
      <c r="H33" s="181">
        <f t="shared" si="1"/>
        <v>12312</v>
      </c>
      <c r="I33" s="181">
        <f t="shared" si="1"/>
        <v>0</v>
      </c>
    </row>
    <row r="34" spans="1:9" ht="12" thickBot="1" x14ac:dyDescent="0.25"/>
    <row r="35" spans="1:9" ht="12" thickBot="1" x14ac:dyDescent="0.25">
      <c r="B35" s="187" t="s">
        <v>827</v>
      </c>
      <c r="D35" s="188">
        <f>E33</f>
        <v>825295</v>
      </c>
      <c r="E35" s="184"/>
      <c r="F35" s="294" t="s">
        <v>1596</v>
      </c>
      <c r="G35" s="295"/>
      <c r="H35" s="295"/>
      <c r="I35" s="296"/>
    </row>
    <row r="36" spans="1:9" ht="12" thickTop="1" x14ac:dyDescent="0.2">
      <c r="B36" t="s">
        <v>807</v>
      </c>
      <c r="D36" s="19">
        <f>D33</f>
        <v>11803566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104032</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5" zoomScale="85" zoomScaleNormal="85" workbookViewId="0">
      <selection activeCell="E40" sqref="E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Wakefield</v>
      </c>
      <c r="B2">
        <f>'DOE25'!B2</f>
        <v>543</v>
      </c>
      <c r="J2" s="223" t="s">
        <v>1799</v>
      </c>
      <c r="K2" s="308">
        <f>SUM('DOE25'!L198:L201)+SUM('DOE25'!L277:L280)</f>
        <v>5958630</v>
      </c>
      <c r="L2" s="308">
        <f>'DOE25'!L203+'DOE25'!L282</f>
        <v>507195</v>
      </c>
      <c r="M2" s="308">
        <f>'DOE25'!L204+'DOE25'!L283</f>
        <v>229606</v>
      </c>
      <c r="N2" s="308">
        <f>'DOE25'!L206+'DOE25'!L285</f>
        <v>355149</v>
      </c>
      <c r="O2" s="316">
        <f>'Salaries-Benefits'!B10+'Salaries-Benefits'!B12+'Salaries-Benefits'!B19+'Salaries-Benefits'!B21+'Salaries-Benefits'!B28+'Salaries-Benefits'!B30+'Salaries-Benefits'!B37+'Salaries-Benefits'!B39</f>
        <v>2424705</v>
      </c>
      <c r="P2" s="316">
        <f>'Salaries-Benefits'!B11+'Salaries-Benefits'!B20+'Salaries-Benefits'!B29+'Salaries-Benefits'!B38</f>
        <v>586958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9053103</v>
      </c>
      <c r="G4" s="228">
        <f>'DOE25'!L212+'DOE25'!L291</f>
        <v>9053103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287328</v>
      </c>
      <c r="E5" s="219">
        <v>0</v>
      </c>
      <c r="F5" s="231">
        <f>D5+E5</f>
        <v>287328</v>
      </c>
      <c r="G5" s="222"/>
      <c r="H5" s="222"/>
      <c r="J5" s="71" t="s">
        <v>1840</v>
      </c>
      <c r="K5" s="20">
        <v>287328</v>
      </c>
      <c r="L5" s="20"/>
      <c r="M5" s="20"/>
      <c r="N5" s="20"/>
      <c r="O5" s="20"/>
      <c r="P5" s="20"/>
      <c r="Q5" s="20"/>
    </row>
    <row r="6" spans="1:22" x14ac:dyDescent="0.2">
      <c r="A6" t="str" cm="1">
        <f t="array" ref="A6">IFERROR(INDEX('School Tables'!$A$4:$G$365,'School Tables'!$J4,3),"")</f>
        <v>Paul Elementary School</v>
      </c>
      <c r="B6" s="229">
        <f>IFERROR(VLOOKUP(A6,'School Tables'!$C$3:$D$365,2,FALSE),"")</f>
        <v>22110</v>
      </c>
      <c r="C6" s="222" t="str">
        <f>IFERROR(INDEX('School Tables'!$B$3:$B$365,MATCH('School Level Expenditures'!B6,'School Tables'!$D$3:$D$365,0)),"")</f>
        <v>Wakefield</v>
      </c>
      <c r="D6" s="219">
        <v>7670054</v>
      </c>
      <c r="E6" s="219">
        <v>1095721</v>
      </c>
      <c r="F6" s="231">
        <f t="shared" ref="F6:F20" si="2">D6+E6</f>
        <v>8765775</v>
      </c>
      <c r="G6" s="222"/>
      <c r="H6" s="222"/>
      <c r="J6" t="str">
        <f t="shared" ref="J6:J20" si="3">A6</f>
        <v>Paul Elementary School</v>
      </c>
      <c r="K6" s="20">
        <f>5958630-287328</f>
        <v>5671302</v>
      </c>
      <c r="L6" s="20">
        <v>507195</v>
      </c>
      <c r="M6" s="307">
        <v>229606</v>
      </c>
      <c r="N6" s="20">
        <v>355149</v>
      </c>
      <c r="O6" s="20">
        <v>2424705</v>
      </c>
      <c r="P6" s="20">
        <v>586958</v>
      </c>
      <c r="Q6" s="20">
        <f>7794+90+1375</f>
        <v>9259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7957382</v>
      </c>
      <c r="E21" s="261">
        <f>SUM(E5:E20)</f>
        <v>1095721</v>
      </c>
      <c r="F21" s="216"/>
      <c r="G21" s="216"/>
      <c r="H21" s="216"/>
      <c r="K21" s="262">
        <f t="shared" ref="K21:Q21" si="4">SUM(K5:K20)</f>
        <v>5958630</v>
      </c>
      <c r="L21" s="262">
        <f t="shared" si="4"/>
        <v>507195</v>
      </c>
      <c r="M21" s="262">
        <f t="shared" si="4"/>
        <v>229606</v>
      </c>
      <c r="N21" s="262">
        <f t="shared" si="4"/>
        <v>355149</v>
      </c>
      <c r="O21" s="262">
        <f t="shared" si="4"/>
        <v>2424705</v>
      </c>
      <c r="P21" s="262">
        <f t="shared" si="4"/>
        <v>586958</v>
      </c>
      <c r="Q21" s="262">
        <f t="shared" si="4"/>
        <v>9259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3328111</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3524459</v>
      </c>
      <c r="G38" s="228">
        <f>'DOE25'!L248+'DOE25'!L329</f>
        <v>3524459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3524459</v>
      </c>
      <c r="E39" s="219">
        <v>0</v>
      </c>
      <c r="F39" s="231">
        <f t="shared" ref="F39:F44" si="10">D39+E39</f>
        <v>3524459</v>
      </c>
      <c r="G39" s="222"/>
      <c r="H39" s="222"/>
      <c r="J39" s="71" t="s">
        <v>1840</v>
      </c>
      <c r="K39" s="315">
        <v>3328111</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3524459</v>
      </c>
      <c r="E45" s="262">
        <f>SUM(E39:E44)</f>
        <v>0</v>
      </c>
      <c r="K45" s="262">
        <f t="shared" ref="K45:Q45" si="11">SUM(K39:K44)</f>
        <v>3328111</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30" zoomScaleNormal="130" workbookViewId="0">
      <selection activeCell="H9" sqref="H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Wakefield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392843</v>
      </c>
      <c r="D8" s="73">
        <f>'DOE25'!G9</f>
        <v>36682</v>
      </c>
      <c r="E8" s="73">
        <f>'DOE25'!H9</f>
        <v>0</v>
      </c>
      <c r="F8" s="73">
        <f>'DOE25'!I9</f>
        <v>0</v>
      </c>
      <c r="G8" s="73">
        <f>'DOE25'!J9</f>
        <v>0</v>
      </c>
      <c r="H8" s="13">
        <f>SUM(C8:G8)</f>
        <v>429525</v>
      </c>
      <c r="I8" s="90"/>
    </row>
    <row r="9" spans="1:9" x14ac:dyDescent="0.2">
      <c r="A9" s="1" t="s">
        <v>140</v>
      </c>
      <c r="B9" s="6">
        <v>110</v>
      </c>
      <c r="C9" s="73">
        <f>'DOE25'!F10</f>
        <v>0</v>
      </c>
      <c r="D9" s="73">
        <f>'DOE25'!G10</f>
        <v>0</v>
      </c>
      <c r="E9" s="73">
        <f>'DOE25'!H10</f>
        <v>0</v>
      </c>
      <c r="F9" s="73">
        <f>'DOE25'!I10</f>
        <v>0</v>
      </c>
      <c r="G9" s="73">
        <f>'DOE25'!J10</f>
        <v>1244207</v>
      </c>
      <c r="H9" s="13">
        <f t="shared" ref="H9:H18" si="0">SUM(C9:G9)</f>
        <v>1244207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103102</v>
      </c>
      <c r="D16" s="73">
        <f>'DOE25'!G17</f>
        <v>0</v>
      </c>
      <c r="E16" s="73">
        <f>'DOE25'!H17</f>
        <v>0</v>
      </c>
      <c r="F16" s="73">
        <f>'DOE25'!I17</f>
        <v>0</v>
      </c>
      <c r="G16" s="73">
        <f>'DOE25'!J17</f>
        <v>0</v>
      </c>
      <c r="H16" s="13">
        <f t="shared" si="0"/>
        <v>103102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495945</v>
      </c>
      <c r="D18" s="38">
        <f>SUM(D8:D17)</f>
        <v>36682</v>
      </c>
      <c r="E18" s="38">
        <f>SUM(E8:E17)</f>
        <v>0</v>
      </c>
      <c r="F18" s="38">
        <f>SUM(F8:F17)</f>
        <v>0</v>
      </c>
      <c r="G18" s="38">
        <f>SUM(G8:G17)</f>
        <v>1244207</v>
      </c>
      <c r="H18" s="38">
        <f t="shared" si="0"/>
        <v>1776834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42852</v>
      </c>
      <c r="D23" s="73">
        <f>'DOE25'!G24</f>
        <v>0</v>
      </c>
      <c r="E23" s="73">
        <f>'DOE25'!H24</f>
        <v>0</v>
      </c>
      <c r="F23" s="73">
        <f>'DOE25'!I24</f>
        <v>0</v>
      </c>
      <c r="G23" s="73">
        <f>'DOE25'!J24</f>
        <v>0</v>
      </c>
      <c r="H23" s="13">
        <f t="shared" si="1"/>
        <v>42852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97696</v>
      </c>
      <c r="D28" s="73">
        <f>'DOE25'!G29</f>
        <v>0</v>
      </c>
      <c r="E28" s="73">
        <f>'DOE25'!H29</f>
        <v>0</v>
      </c>
      <c r="F28" s="73">
        <f>'DOE25'!I29</f>
        <v>0</v>
      </c>
      <c r="G28" s="23" t="s">
        <v>288</v>
      </c>
      <c r="H28" s="13">
        <f t="shared" si="1"/>
        <v>97696</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140548</v>
      </c>
      <c r="D31" s="38">
        <f>SUM(D21:D30)</f>
        <v>0</v>
      </c>
      <c r="E31" s="38">
        <f>SUM(E21:E30)</f>
        <v>0</v>
      </c>
      <c r="F31" s="38">
        <f>SUM(F21:F30)</f>
        <v>0</v>
      </c>
      <c r="G31" s="38">
        <f>SUM(G21:G30)</f>
        <v>0</v>
      </c>
      <c r="H31" s="38">
        <f t="shared" si="1"/>
        <v>140548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101398</v>
      </c>
      <c r="D35" s="73">
        <f>'DOE25'!G36</f>
        <v>0</v>
      </c>
      <c r="E35" s="73">
        <f>'DOE25'!H36</f>
        <v>0</v>
      </c>
      <c r="F35" s="73">
        <f>'DOE25'!I36</f>
        <v>0</v>
      </c>
      <c r="G35" s="23" t="s">
        <v>288</v>
      </c>
      <c r="H35" s="13">
        <f t="shared" si="2"/>
        <v>101398</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36682</v>
      </c>
      <c r="E39" s="23" t="s">
        <v>288</v>
      </c>
      <c r="F39" s="23" t="s">
        <v>288</v>
      </c>
      <c r="G39" s="23" t="s">
        <v>288</v>
      </c>
      <c r="H39" s="13">
        <f t="shared" si="2"/>
        <v>36682</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1244207</v>
      </c>
      <c r="H47" s="13">
        <f t="shared" si="2"/>
        <v>1244207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253999</v>
      </c>
      <c r="D49" s="23" t="s">
        <v>288</v>
      </c>
      <c r="E49" s="23" t="s">
        <v>288</v>
      </c>
      <c r="F49" s="23" t="s">
        <v>288</v>
      </c>
      <c r="G49" s="23" t="s">
        <v>288</v>
      </c>
      <c r="H49" s="13">
        <f t="shared" si="2"/>
        <v>253999</v>
      </c>
      <c r="I49" s="90"/>
    </row>
    <row r="50" spans="1:9" ht="12.75" thickTop="1" thickBot="1" x14ac:dyDescent="0.25">
      <c r="A50" s="35" t="s">
        <v>880</v>
      </c>
      <c r="B50" s="44"/>
      <c r="C50" s="38">
        <f>SUM(C34:C49)</f>
        <v>355397</v>
      </c>
      <c r="D50" s="38">
        <f>SUM(D34:D49)</f>
        <v>36682</v>
      </c>
      <c r="E50" s="38">
        <f>SUM(E34:E49)</f>
        <v>0</v>
      </c>
      <c r="F50" s="38">
        <f>SUM(F34:F49)</f>
        <v>0</v>
      </c>
      <c r="G50" s="38">
        <f>SUM(G34:G49)</f>
        <v>1244207</v>
      </c>
      <c r="H50" s="38">
        <f t="shared" si="2"/>
        <v>1636286</v>
      </c>
      <c r="I50" s="90"/>
    </row>
    <row r="51" spans="1:9" ht="12" thickTop="1" x14ac:dyDescent="0.2">
      <c r="A51" s="35" t="s">
        <v>881</v>
      </c>
      <c r="B51" s="2"/>
      <c r="C51" s="38">
        <f>C50+C31</f>
        <v>495945</v>
      </c>
      <c r="D51" s="38">
        <f>D50+D31</f>
        <v>36682</v>
      </c>
      <c r="E51" s="38">
        <f>E50+E31</f>
        <v>0</v>
      </c>
      <c r="F51" s="38">
        <f>F50+F31</f>
        <v>0</v>
      </c>
      <c r="G51" s="38">
        <f>G50+G31</f>
        <v>1244207</v>
      </c>
      <c r="H51" s="38">
        <f t="shared" si="2"/>
        <v>1776834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7578767</v>
      </c>
      <c r="D56" s="73">
        <f>'DOE25'!G60</f>
        <v>0</v>
      </c>
      <c r="E56" s="73">
        <f>'DOE25'!H60</f>
        <v>0</v>
      </c>
      <c r="F56" s="73">
        <f>'DOE25'!I60</f>
        <v>0</v>
      </c>
      <c r="G56" s="73">
        <f>'DOE25'!J60</f>
        <v>0</v>
      </c>
      <c r="H56" s="13">
        <f t="shared" ref="H56:H63" si="3">SUM(C56:G56)</f>
        <v>7578767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19662</v>
      </c>
      <c r="D59" s="73">
        <f>'DOE25'!G96</f>
        <v>0</v>
      </c>
      <c r="E59" s="73">
        <f>'DOE25'!H96</f>
        <v>0</v>
      </c>
      <c r="F59" s="73">
        <f>'DOE25'!I96</f>
        <v>0</v>
      </c>
      <c r="G59" s="73">
        <f>'DOE25'!J96</f>
        <v>0</v>
      </c>
      <c r="H59" s="13">
        <f t="shared" si="3"/>
        <v>19662</v>
      </c>
      <c r="I59"/>
    </row>
    <row r="60" spans="1:9" x14ac:dyDescent="0.2">
      <c r="A60" s="1" t="s">
        <v>170</v>
      </c>
      <c r="B60" s="22" t="s">
        <v>171</v>
      </c>
      <c r="C60" s="23" t="s">
        <v>288</v>
      </c>
      <c r="D60" s="73">
        <f>'DOE25'!G97</f>
        <v>77880</v>
      </c>
      <c r="E60" s="23" t="s">
        <v>288</v>
      </c>
      <c r="F60" s="23" t="s">
        <v>288</v>
      </c>
      <c r="G60" s="23" t="s">
        <v>288</v>
      </c>
      <c r="H60" s="13">
        <f t="shared" si="3"/>
        <v>77880</v>
      </c>
      <c r="I60"/>
    </row>
    <row r="61" spans="1:9" ht="12" thickBot="1" x14ac:dyDescent="0.25">
      <c r="A61" s="1" t="s">
        <v>172</v>
      </c>
      <c r="B61" s="22" t="s">
        <v>173</v>
      </c>
      <c r="C61" s="73">
        <f>SUM('DOE25'!F98:F110)</f>
        <v>1834</v>
      </c>
      <c r="D61" s="73">
        <f>SUM('DOE25'!G98:G110)</f>
        <v>0</v>
      </c>
      <c r="E61" s="73">
        <f>SUM('DOE25'!H98:H110)</f>
        <v>0</v>
      </c>
      <c r="F61" s="73">
        <f>SUM('DOE25'!I98:I110)</f>
        <v>0</v>
      </c>
      <c r="G61" s="73">
        <f>SUM('DOE25'!J98:J110)</f>
        <v>0</v>
      </c>
      <c r="H61" s="13">
        <f t="shared" si="3"/>
        <v>1834</v>
      </c>
      <c r="I61"/>
    </row>
    <row r="62" spans="1:9" ht="12.75" thickTop="1" thickBot="1" x14ac:dyDescent="0.25">
      <c r="A62" s="28" t="s">
        <v>174</v>
      </c>
      <c r="B62" s="6"/>
      <c r="C62" s="93">
        <f>SUM(C57:C61)</f>
        <v>21496</v>
      </c>
      <c r="D62" s="93">
        <f>SUM(D57:D61)</f>
        <v>77880</v>
      </c>
      <c r="E62" s="93">
        <f>SUM(E57:E61)</f>
        <v>0</v>
      </c>
      <c r="F62" s="93">
        <f>SUM(F57:F61)</f>
        <v>0</v>
      </c>
      <c r="G62" s="93">
        <f>SUM(G57:G61)</f>
        <v>0</v>
      </c>
      <c r="H62" s="13">
        <f t="shared" si="3"/>
        <v>99376</v>
      </c>
      <c r="I62"/>
    </row>
    <row r="63" spans="1:9" ht="12" thickTop="1" x14ac:dyDescent="0.2">
      <c r="A63" s="28" t="s">
        <v>175</v>
      </c>
      <c r="B63" s="6"/>
      <c r="C63" s="21">
        <f>C56+C62</f>
        <v>7600263</v>
      </c>
      <c r="D63" s="21">
        <f>D56+D62</f>
        <v>77880</v>
      </c>
      <c r="E63" s="21">
        <f>E56+E62</f>
        <v>0</v>
      </c>
      <c r="F63" s="21">
        <f>F56+F62</f>
        <v>0</v>
      </c>
      <c r="G63" s="21">
        <f>G56+G62</f>
        <v>0</v>
      </c>
      <c r="H63" s="13">
        <f t="shared" si="3"/>
        <v>7678143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1236445</v>
      </c>
      <c r="D66" s="23" t="s">
        <v>288</v>
      </c>
      <c r="E66" s="23" t="s">
        <v>288</v>
      </c>
      <c r="F66" s="23" t="s">
        <v>288</v>
      </c>
      <c r="G66" s="23" t="s">
        <v>288</v>
      </c>
      <c r="H66" s="13">
        <f t="shared" ref="H66:H81" si="4">SUM(C66:G66)</f>
        <v>1236445</v>
      </c>
      <c r="I66"/>
    </row>
    <row r="67" spans="1:9" x14ac:dyDescent="0.2">
      <c r="A67" s="1" t="s">
        <v>767</v>
      </c>
      <c r="B67" s="6">
        <v>3112</v>
      </c>
      <c r="C67" s="73">
        <f>'DOE25'!F118</f>
        <v>2492413</v>
      </c>
      <c r="D67" s="23"/>
      <c r="E67" s="23"/>
      <c r="F67" s="23"/>
      <c r="G67" s="23"/>
      <c r="H67" s="13">
        <f t="shared" si="4"/>
        <v>2492413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10923</v>
      </c>
      <c r="D69" s="73">
        <f>'DOE25'!G120</f>
        <v>0</v>
      </c>
      <c r="E69" s="73">
        <f>'DOE25'!H120</f>
        <v>0</v>
      </c>
      <c r="F69" s="73">
        <f>'DOE25'!I120</f>
        <v>0</v>
      </c>
      <c r="G69" s="73">
        <f>'DOE25'!J120</f>
        <v>0</v>
      </c>
      <c r="H69" s="13">
        <f t="shared" si="4"/>
        <v>10923</v>
      </c>
      <c r="I69"/>
    </row>
    <row r="70" spans="1:9" ht="12" thickTop="1" x14ac:dyDescent="0.2">
      <c r="A70" s="28" t="s">
        <v>252</v>
      </c>
      <c r="B70" s="2"/>
      <c r="C70" s="97">
        <f>SUM(C66:C69)</f>
        <v>3739781</v>
      </c>
      <c r="D70" s="97">
        <f>D69</f>
        <v>0</v>
      </c>
      <c r="E70" s="97">
        <f>E69</f>
        <v>0</v>
      </c>
      <c r="F70" s="97">
        <f>F69</f>
        <v>0</v>
      </c>
      <c r="G70" s="97">
        <f>G69</f>
        <v>0</v>
      </c>
      <c r="H70" s="13">
        <f t="shared" si="4"/>
        <v>3739781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60748</v>
      </c>
      <c r="D75" s="23" t="s">
        <v>288</v>
      </c>
      <c r="E75" s="23" t="s">
        <v>288</v>
      </c>
      <c r="F75" s="23" t="s">
        <v>288</v>
      </c>
      <c r="G75" s="23" t="s">
        <v>288</v>
      </c>
      <c r="H75" s="13">
        <f t="shared" si="4"/>
        <v>60748</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5625</v>
      </c>
      <c r="E77" s="73">
        <f>SUM('DOE25'!H131:H135)</f>
        <v>0</v>
      </c>
      <c r="F77" s="73">
        <f>SUM('DOE25'!I131:I135)</f>
        <v>0</v>
      </c>
      <c r="G77" s="73">
        <f>SUM('DOE25'!J131:J135)</f>
        <v>0</v>
      </c>
      <c r="H77" s="13">
        <f t="shared" si="4"/>
        <v>5625</v>
      </c>
      <c r="I77"/>
    </row>
    <row r="78" spans="1:9" ht="12.75" thickTop="1" thickBot="1" x14ac:dyDescent="0.25">
      <c r="A78" s="28" t="s">
        <v>259</v>
      </c>
      <c r="B78" s="6"/>
      <c r="C78" s="93">
        <f>SUM(C72:C77)</f>
        <v>60748</v>
      </c>
      <c r="D78" s="93">
        <f>SUM(D72:D77)</f>
        <v>5625</v>
      </c>
      <c r="E78" s="93">
        <f>SUM(E72:E77)</f>
        <v>0</v>
      </c>
      <c r="F78" s="93">
        <f>SUM(F72:F77)</f>
        <v>0</v>
      </c>
      <c r="G78" s="93">
        <f>SUM(G72:G77)</f>
        <v>0</v>
      </c>
      <c r="H78" s="13">
        <f t="shared" si="4"/>
        <v>66373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3800529</v>
      </c>
      <c r="D81" s="93">
        <f>SUM(D79:D80)+D78+D70</f>
        <v>5625</v>
      </c>
      <c r="E81" s="93">
        <f>SUM(E79:E80)+E78+E70</f>
        <v>0</v>
      </c>
      <c r="F81" s="93">
        <f>SUM(F79:F80)+F78+F70</f>
        <v>0</v>
      </c>
      <c r="G81" s="93">
        <f>SUM(G79:G80)+G78+G70</f>
        <v>0</v>
      </c>
      <c r="H81" s="93">
        <f t="shared" si="4"/>
        <v>3806154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1481</v>
      </c>
      <c r="D88" s="252">
        <f>SUM('DOE25'!G153:G162)</f>
        <v>175915</v>
      </c>
      <c r="E88" s="252">
        <f>SUM('DOE25'!H153:H162)</f>
        <v>1439149</v>
      </c>
      <c r="F88" s="252">
        <f>SUM('DOE25'!I153:I162)</f>
        <v>0</v>
      </c>
      <c r="G88" s="23" t="s">
        <v>288</v>
      </c>
      <c r="H88" s="13">
        <f t="shared" si="5"/>
        <v>1616545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1481</v>
      </c>
      <c r="D91" s="94">
        <f>SUM(D85:D90)</f>
        <v>175915</v>
      </c>
      <c r="E91" s="94">
        <f>SUM(E85:E90)</f>
        <v>1439149</v>
      </c>
      <c r="F91" s="94">
        <f>SUM(F85:F90)</f>
        <v>0</v>
      </c>
      <c r="G91" s="23" t="s">
        <v>288</v>
      </c>
      <c r="H91" s="13">
        <f t="shared" si="5"/>
        <v>1616545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333000</v>
      </c>
      <c r="H96" s="13">
        <f t="shared" si="5"/>
        <v>333000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333000</v>
      </c>
      <c r="H103" s="68">
        <f t="shared" si="5"/>
        <v>333000</v>
      </c>
    </row>
    <row r="104" spans="1:8" ht="12.75" thickTop="1" thickBot="1" x14ac:dyDescent="0.25">
      <c r="A104" s="32" t="s">
        <v>758</v>
      </c>
      <c r="C104" s="68">
        <f>C63+C81+C91+C103</f>
        <v>11402273</v>
      </c>
      <c r="D104" s="68">
        <f>D63+D81+D91+D103</f>
        <v>259420</v>
      </c>
      <c r="E104" s="68">
        <f>E63+E81+E91+E103</f>
        <v>1439149</v>
      </c>
      <c r="F104" s="68">
        <f>F63+F81+F91+F103</f>
        <v>0</v>
      </c>
      <c r="G104" s="68">
        <f>G63+G81+G103</f>
        <v>333000</v>
      </c>
      <c r="H104" s="68">
        <f t="shared" si="5"/>
        <v>13433842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5747706</v>
      </c>
      <c r="D109" s="23" t="s">
        <v>288</v>
      </c>
      <c r="E109" s="73">
        <f>('DOE25'!L277)+('DOE25'!L296)+('DOE25'!L315)</f>
        <v>920258</v>
      </c>
      <c r="F109" s="23" t="s">
        <v>288</v>
      </c>
      <c r="G109" s="23" t="s">
        <v>288</v>
      </c>
      <c r="H109" s="13">
        <f t="shared" ref="H109:H115" si="6">SUM(C109:G109)</f>
        <v>6667964</v>
      </c>
    </row>
    <row r="110" spans="1:8" x14ac:dyDescent="0.2">
      <c r="A110" t="s">
        <v>198</v>
      </c>
      <c r="B110" s="31" t="s">
        <v>199</v>
      </c>
      <c r="C110" s="73">
        <f>('DOE25'!L199)+('DOE25'!L217)+('DOE25'!L235)</f>
        <v>2459576</v>
      </c>
      <c r="D110" s="23" t="s">
        <v>288</v>
      </c>
      <c r="E110" s="73">
        <f>('DOE25'!L278)+('DOE25'!L297)+('DOE25'!L316)</f>
        <v>115767</v>
      </c>
      <c r="F110" s="23" t="s">
        <v>288</v>
      </c>
      <c r="G110" s="23" t="s">
        <v>288</v>
      </c>
      <c r="H110" s="13">
        <f t="shared" si="6"/>
        <v>2575343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43434</v>
      </c>
      <c r="D112" s="23" t="s">
        <v>288</v>
      </c>
      <c r="E112" s="73">
        <f>+('DOE25'!L280)+('DOE25'!L299)+('DOE25'!L318)</f>
        <v>0</v>
      </c>
      <c r="F112" s="23" t="s">
        <v>288</v>
      </c>
      <c r="G112" s="23" t="s">
        <v>288</v>
      </c>
      <c r="H112" s="13">
        <f t="shared" si="6"/>
        <v>43434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8250716</v>
      </c>
      <c r="D115" s="68">
        <f>SUM(D109:D114)</f>
        <v>0</v>
      </c>
      <c r="E115" s="68">
        <f>SUM(E109:E114)</f>
        <v>1036025</v>
      </c>
      <c r="F115" s="68">
        <f>SUM(F109:F114)</f>
        <v>0</v>
      </c>
      <c r="G115" s="68">
        <f>SUM(G109:G114)</f>
        <v>0</v>
      </c>
      <c r="H115" s="68">
        <f t="shared" si="6"/>
        <v>9286741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253799</v>
      </c>
      <c r="D118" s="23" t="s">
        <v>288</v>
      </c>
      <c r="E118" s="73">
        <f>+('DOE25'!L282)+('DOE25'!L301)+('DOE25'!L320)</f>
        <v>253396</v>
      </c>
      <c r="F118" s="23" t="s">
        <v>288</v>
      </c>
      <c r="G118" s="23" t="s">
        <v>288</v>
      </c>
      <c r="H118" s="13">
        <f t="shared" ref="H118:H145" si="7">SUM(C118:G118)</f>
        <v>507195</v>
      </c>
    </row>
    <row r="119" spans="1:8" x14ac:dyDescent="0.2">
      <c r="A119" t="s">
        <v>208</v>
      </c>
      <c r="B119" s="31" t="s">
        <v>209</v>
      </c>
      <c r="C119" s="73">
        <f>('DOE25'!L204)+('DOE25'!L222)+('DOE25'!L240)</f>
        <v>123262</v>
      </c>
      <c r="D119" s="23" t="s">
        <v>288</v>
      </c>
      <c r="E119" s="73">
        <f>+('DOE25'!L283)+('DOE25'!L302)+('DOE25'!L321)</f>
        <v>106344</v>
      </c>
      <c r="F119" s="23" t="s">
        <v>288</v>
      </c>
      <c r="G119" s="23" t="s">
        <v>288</v>
      </c>
      <c r="H119" s="13">
        <f t="shared" si="7"/>
        <v>229606</v>
      </c>
    </row>
    <row r="120" spans="1:8" x14ac:dyDescent="0.2">
      <c r="A120" t="s">
        <v>210</v>
      </c>
      <c r="B120" s="31" t="s">
        <v>211</v>
      </c>
      <c r="C120" s="73">
        <f>('DOE25'!L205)+('DOE25'!L223)+('DOE25'!L241)</f>
        <v>551665</v>
      </c>
      <c r="D120" s="23" t="s">
        <v>288</v>
      </c>
      <c r="E120" s="73">
        <f>+('DOE25'!L284)+('DOE25'!L303)+('DOE25'!L322)</f>
        <v>7061</v>
      </c>
      <c r="F120" s="23" t="s">
        <v>288</v>
      </c>
      <c r="G120" s="23" t="s">
        <v>288</v>
      </c>
      <c r="H120" s="13">
        <f t="shared" si="7"/>
        <v>558726</v>
      </c>
    </row>
    <row r="121" spans="1:8" x14ac:dyDescent="0.2">
      <c r="A121" t="s">
        <v>212</v>
      </c>
      <c r="B121" s="31" t="s">
        <v>213</v>
      </c>
      <c r="C121" s="73">
        <f>('DOE25'!L206)+('DOE25'!L224)+('DOE25'!L242)</f>
        <v>355149</v>
      </c>
      <c r="D121" s="23" t="s">
        <v>288</v>
      </c>
      <c r="E121" s="73">
        <f>+('DOE25'!L285)+('DOE25'!L304)+('DOE25'!L323)</f>
        <v>0</v>
      </c>
      <c r="F121" s="23" t="s">
        <v>288</v>
      </c>
      <c r="G121" s="23" t="s">
        <v>288</v>
      </c>
      <c r="H121" s="13">
        <f t="shared" si="7"/>
        <v>355149</v>
      </c>
    </row>
    <row r="122" spans="1:8" x14ac:dyDescent="0.2">
      <c r="A122" t="s">
        <v>214</v>
      </c>
      <c r="B122" s="31" t="s">
        <v>215</v>
      </c>
      <c r="C122" s="73">
        <f>('DOE25'!L207)+('DOE25'!L225)+('DOE25'!L243)</f>
        <v>226750</v>
      </c>
      <c r="D122" s="23" t="s">
        <v>288</v>
      </c>
      <c r="E122" s="73">
        <f>+('DOE25'!L286)+('DOE25'!L305)+('DOE25'!L324)</f>
        <v>24086</v>
      </c>
      <c r="F122" s="23" t="s">
        <v>288</v>
      </c>
      <c r="G122" s="23" t="s">
        <v>288</v>
      </c>
      <c r="H122" s="13">
        <f t="shared" si="7"/>
        <v>250836</v>
      </c>
    </row>
    <row r="123" spans="1:8" x14ac:dyDescent="0.2">
      <c r="A123" t="s">
        <v>216</v>
      </c>
      <c r="B123" s="31" t="s">
        <v>217</v>
      </c>
      <c r="C123" s="73">
        <f>('DOE25'!L208)+('DOE25'!L226)+('DOE25'!L244)</f>
        <v>586963</v>
      </c>
      <c r="D123" s="23" t="s">
        <v>288</v>
      </c>
      <c r="E123" s="73">
        <f>+('DOE25'!L287)+('DOE25'!L306)+('DOE25'!L325)</f>
        <v>11922</v>
      </c>
      <c r="F123" s="23" t="s">
        <v>288</v>
      </c>
      <c r="G123" s="23" t="s">
        <v>288</v>
      </c>
      <c r="H123" s="13">
        <f t="shared" si="7"/>
        <v>598885</v>
      </c>
    </row>
    <row r="124" spans="1:8" x14ac:dyDescent="0.2">
      <c r="A124" t="s">
        <v>218</v>
      </c>
      <c r="B124" s="31" t="s">
        <v>219</v>
      </c>
      <c r="C124" s="73">
        <f>('DOE25'!L209)+('DOE25'!L227)+('DOE25'!L245+'DOE25'!L255)</f>
        <v>654491</v>
      </c>
      <c r="D124" s="23" t="s">
        <v>288</v>
      </c>
      <c r="E124" s="73">
        <f>+('DOE25'!L288)+('DOE25'!L307)+('DOE25'!L326)</f>
        <v>0</v>
      </c>
      <c r="F124" s="23" t="s">
        <v>288</v>
      </c>
      <c r="G124" s="23" t="s">
        <v>288</v>
      </c>
      <c r="H124" s="13">
        <f t="shared" si="7"/>
        <v>654491</v>
      </c>
    </row>
    <row r="125" spans="1:8" x14ac:dyDescent="0.2">
      <c r="A125" t="s">
        <v>220</v>
      </c>
      <c r="B125" s="31" t="s">
        <v>221</v>
      </c>
      <c r="C125" s="73">
        <f>('DOE25'!L210)+('DOE25'!L228)+('DOE25'!L246)</f>
        <v>135618</v>
      </c>
      <c r="D125" s="23" t="s">
        <v>288</v>
      </c>
      <c r="E125" s="73">
        <f>+('DOE25'!L289)+('DOE25'!L308)+('DOE25'!L327)</f>
        <v>315</v>
      </c>
      <c r="F125" s="23" t="s">
        <v>288</v>
      </c>
      <c r="G125" s="23" t="s">
        <v>288</v>
      </c>
      <c r="H125" s="13">
        <f t="shared" si="7"/>
        <v>135933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268358</v>
      </c>
      <c r="E127" s="23" t="s">
        <v>288</v>
      </c>
      <c r="F127" s="23" t="s">
        <v>288</v>
      </c>
      <c r="G127" s="23" t="s">
        <v>288</v>
      </c>
      <c r="H127" s="13">
        <f t="shared" si="7"/>
        <v>268358</v>
      </c>
    </row>
    <row r="128" spans="1:8" ht="12.75" thickTop="1" thickBot="1" x14ac:dyDescent="0.25">
      <c r="A128" s="32" t="s">
        <v>226</v>
      </c>
      <c r="C128" s="68">
        <f>SUM(C118:C127)</f>
        <v>2887697</v>
      </c>
      <c r="D128" s="68">
        <f>SUM(D118:D127)</f>
        <v>268358</v>
      </c>
      <c r="E128" s="68">
        <f>SUM(E118:E127)</f>
        <v>403124</v>
      </c>
      <c r="F128" s="68">
        <f>SUM(F118:F127)</f>
        <v>0</v>
      </c>
      <c r="G128" s="68">
        <f>SUM(G118:G127)</f>
        <v>0</v>
      </c>
      <c r="H128" s="68">
        <f t="shared" si="7"/>
        <v>3559179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208000</v>
      </c>
      <c r="D138" s="23" t="s">
        <v>288</v>
      </c>
      <c r="E138" s="23" t="s">
        <v>288</v>
      </c>
      <c r="F138" s="23" t="s">
        <v>288</v>
      </c>
      <c r="G138" s="23" t="s">
        <v>288</v>
      </c>
      <c r="H138" s="13">
        <f t="shared" si="7"/>
        <v>208000</v>
      </c>
    </row>
    <row r="139" spans="1:8" x14ac:dyDescent="0.2">
      <c r="A139" t="s">
        <v>239</v>
      </c>
      <c r="B139" s="31">
        <v>5252</v>
      </c>
      <c r="C139" s="73">
        <f>'DOE25'!L402</f>
        <v>125000</v>
      </c>
      <c r="D139" s="23" t="s">
        <v>288</v>
      </c>
      <c r="E139" s="23" t="s">
        <v>288</v>
      </c>
      <c r="F139" s="23" t="s">
        <v>288</v>
      </c>
      <c r="G139" s="23" t="s">
        <v>288</v>
      </c>
      <c r="H139" s="13">
        <f t="shared" si="7"/>
        <v>125000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333000</v>
      </c>
      <c r="D144" s="98">
        <f>SUM(D130:D143)</f>
        <v>0</v>
      </c>
      <c r="E144" s="98">
        <f>SUM(E130:E143)</f>
        <v>0</v>
      </c>
      <c r="F144" s="98">
        <f>SUM(F130:F143)</f>
        <v>0</v>
      </c>
      <c r="G144" s="98">
        <f>SUM(G130:G143)</f>
        <v>0</v>
      </c>
      <c r="H144" s="98">
        <f t="shared" si="7"/>
        <v>333000</v>
      </c>
    </row>
    <row r="145" spans="1:9" ht="12.75" thickTop="1" thickBot="1" x14ac:dyDescent="0.25">
      <c r="A145" s="32" t="s">
        <v>244</v>
      </c>
      <c r="C145" s="68">
        <f>(C115+C128+C144)</f>
        <v>11471413</v>
      </c>
      <c r="D145" s="68">
        <f>(D115+D128+D144)</f>
        <v>268358</v>
      </c>
      <c r="E145" s="68">
        <f>(E115+E128+E144)</f>
        <v>1439149</v>
      </c>
      <c r="F145" s="68">
        <f>(F115+F128+F144)</f>
        <v>0</v>
      </c>
      <c r="G145" s="68">
        <f>(G115+G128+G144)</f>
        <v>0</v>
      </c>
      <c r="H145" s="68">
        <f t="shared" si="7"/>
        <v>13178920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36"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Wakefield</v>
      </c>
    </row>
    <row r="3" spans="1:4" x14ac:dyDescent="0.2">
      <c r="B3" s="136" t="s">
        <v>1792</v>
      </c>
    </row>
    <row r="4" spans="1:4" x14ac:dyDescent="0.2">
      <c r="B4" t="s">
        <v>61</v>
      </c>
      <c r="C4" s="128">
        <f>IF('DOE25'!F666+'DOE25'!F671=0,0,ROUND('DOE25'!F673,0))</f>
        <v>19880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19880</v>
      </c>
    </row>
    <row r="9" spans="1:4" x14ac:dyDescent="0.2">
      <c r="A9" s="135" t="s">
        <v>94</v>
      </c>
      <c r="B9" s="136" t="s">
        <v>1793</v>
      </c>
      <c r="C9" s="130" t="s">
        <v>720</v>
      </c>
      <c r="D9" s="130" t="s">
        <v>721</v>
      </c>
    </row>
    <row r="10" spans="1:4" x14ac:dyDescent="0.2">
      <c r="A10">
        <v>1100</v>
      </c>
      <c r="B10" t="s">
        <v>702</v>
      </c>
      <c r="C10" s="128">
        <f>ROUND('DOE25'!L198+'DOE25'!L216+'DOE25'!L234+'DOE25'!L277+'DOE25'!L296+'DOE25'!L315,0)</f>
        <v>6667964</v>
      </c>
      <c r="D10" s="131">
        <f>ROUND((C10/$C$28)*100,1)</f>
        <v>52.2</v>
      </c>
    </row>
    <row r="11" spans="1:4" x14ac:dyDescent="0.2">
      <c r="A11">
        <v>1200</v>
      </c>
      <c r="B11" t="s">
        <v>703</v>
      </c>
      <c r="C11" s="128">
        <f>ROUND('DOE25'!L199+'DOE25'!L217+'DOE25'!L235+'DOE25'!L278+'DOE25'!L297+'DOE25'!L316,0)</f>
        <v>2575343</v>
      </c>
      <c r="D11" s="131">
        <f>ROUND((C11/$C$28)*100,1)</f>
        <v>20.2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43434</v>
      </c>
      <c r="D13" s="131">
        <f>ROUND((C13/$C$28)*100,1)</f>
        <v>0.3</v>
      </c>
    </row>
    <row r="14" spans="1:4" x14ac:dyDescent="0.2">
      <c r="D14" s="131"/>
    </row>
    <row r="15" spans="1:4" x14ac:dyDescent="0.2">
      <c r="A15">
        <v>2100</v>
      </c>
      <c r="B15" t="s">
        <v>706</v>
      </c>
      <c r="C15" s="128">
        <f>ROUND('DOE25'!L203+'DOE25'!L221+'DOE25'!L239+'DOE25'!L282+'DOE25'!L301+'DOE25'!L320,0)</f>
        <v>507195</v>
      </c>
      <c r="D15" s="131">
        <f t="shared" ref="D15:D27" si="0">ROUND((C15/$C$28)*100,1)</f>
        <v>4</v>
      </c>
    </row>
    <row r="16" spans="1:4" x14ac:dyDescent="0.2">
      <c r="A16">
        <v>2200</v>
      </c>
      <c r="B16" t="s">
        <v>707</v>
      </c>
      <c r="C16" s="128">
        <f>ROUND('DOE25'!L204+'DOE25'!L222+'DOE25'!L240+'DOE25'!L283+'DOE25'!L302+'DOE25'!L321,0)</f>
        <v>229606</v>
      </c>
      <c r="D16" s="131">
        <f t="shared" si="0"/>
        <v>1.8</v>
      </c>
    </row>
    <row r="17" spans="1:4" x14ac:dyDescent="0.2">
      <c r="A17" s="132" t="s">
        <v>723</v>
      </c>
      <c r="B17" t="s">
        <v>738</v>
      </c>
      <c r="C17" s="128">
        <f>ROUND('DOE25'!L205+'DOE25'!L210+'DOE25'!L223+'DOE25'!L228+'DOE25'!L241+'DOE25'!L246+'DOE25'!L284+'DOE25'!L289+'DOE25'!L303+'DOE25'!L308+'DOE25'!L322+'DOE25'!L327,0)</f>
        <v>694659</v>
      </c>
      <c r="D17" s="131">
        <f t="shared" si="0"/>
        <v>5.4</v>
      </c>
    </row>
    <row r="18" spans="1:4" x14ac:dyDescent="0.2">
      <c r="A18">
        <v>2400</v>
      </c>
      <c r="B18" t="s">
        <v>711</v>
      </c>
      <c r="C18" s="128">
        <f>ROUND('DOE25'!L206+'DOE25'!L224+'DOE25'!L242+'DOE25'!L285+'DOE25'!L304+'DOE25'!L323,0)</f>
        <v>355149</v>
      </c>
      <c r="D18" s="131">
        <f t="shared" si="0"/>
        <v>2.8</v>
      </c>
    </row>
    <row r="19" spans="1:4" x14ac:dyDescent="0.2">
      <c r="A19">
        <v>2500</v>
      </c>
      <c r="B19" t="s">
        <v>708</v>
      </c>
      <c r="C19" s="128">
        <f>ROUND('DOE25'!L207+'DOE25'!L225+'DOE25'!L243+'DOE25'!L286+'DOE25'!L305+'DOE25'!L324,0)</f>
        <v>250836</v>
      </c>
      <c r="D19" s="131">
        <f t="shared" si="0"/>
        <v>2</v>
      </c>
    </row>
    <row r="20" spans="1:4" x14ac:dyDescent="0.2">
      <c r="A20">
        <v>2600</v>
      </c>
      <c r="B20" t="s">
        <v>709</v>
      </c>
      <c r="C20" s="128">
        <f>ROUND('DOE25'!L208+'DOE25'!L226+'DOE25'!L244+'DOE25'!L287+'DOE25'!L306+'DOE25'!L325,0)</f>
        <v>598885</v>
      </c>
      <c r="D20" s="131">
        <f t="shared" si="0"/>
        <v>4.7</v>
      </c>
    </row>
    <row r="21" spans="1:4" x14ac:dyDescent="0.2">
      <c r="A21">
        <v>2700</v>
      </c>
      <c r="B21" t="s">
        <v>710</v>
      </c>
      <c r="C21" s="128">
        <f>ROUND('DOE25'!L209+'DOE25'!L227+'DOE25'!L245+'DOE25'!L288+'DOE25'!L307+'DOE25'!L326,0)</f>
        <v>654491</v>
      </c>
      <c r="D21" s="131">
        <f t="shared" si="0"/>
        <v>5.0999999999999996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190478</v>
      </c>
      <c r="D27" s="131">
        <f t="shared" si="0"/>
        <v>1.5</v>
      </c>
    </row>
    <row r="28" spans="1:4" x14ac:dyDescent="0.2">
      <c r="B28" s="135" t="s">
        <v>719</v>
      </c>
      <c r="C28" s="129">
        <f>SUM(C10:C27)</f>
        <v>12768040</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12768040</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7578767</v>
      </c>
      <c r="D35" s="131">
        <f t="shared" ref="D35:D40" si="1">ROUND((C35/$C$41)*100,1)</f>
        <v>58.2</v>
      </c>
    </row>
    <row r="36" spans="1:4" x14ac:dyDescent="0.2">
      <c r="B36" s="71" t="s">
        <v>739</v>
      </c>
      <c r="C36" s="128">
        <f>SUM('DOE25'!F112:J112)-SUM('DOE25'!G97:G110)+('DOE25'!F175+'DOE25'!F176+'DOE25'!I175+'DOE25'!I176)-C35</f>
        <v>21496</v>
      </c>
      <c r="D36" s="131">
        <f t="shared" si="1"/>
        <v>0.2</v>
      </c>
    </row>
    <row r="37" spans="1:4" x14ac:dyDescent="0.2">
      <c r="A37" s="132" t="s">
        <v>831</v>
      </c>
      <c r="B37" s="71" t="s">
        <v>728</v>
      </c>
      <c r="C37" s="128">
        <f>ROUND('DOE25'!F117+'DOE25'!F118,0)</f>
        <v>3728858</v>
      </c>
      <c r="D37" s="131">
        <f t="shared" si="1"/>
        <v>28.6</v>
      </c>
    </row>
    <row r="38" spans="1:4" x14ac:dyDescent="0.2">
      <c r="A38" s="132" t="s">
        <v>734</v>
      </c>
      <c r="B38" s="71" t="s">
        <v>729</v>
      </c>
      <c r="C38" s="128">
        <f>ROUND(SUM('DOE25'!F140:J140)-SUM('DOE25'!F117:F119),0)</f>
        <v>77296</v>
      </c>
      <c r="D38" s="131">
        <f t="shared" si="1"/>
        <v>0.6</v>
      </c>
    </row>
    <row r="39" spans="1:4" x14ac:dyDescent="0.2">
      <c r="A39">
        <v>4000</v>
      </c>
      <c r="B39" s="71" t="s">
        <v>730</v>
      </c>
      <c r="C39" s="128">
        <f>ROUND('DOE25'!F170+'DOE25'!G170+'DOE25'!H170+'DOE25'!I170,0)</f>
        <v>1616545</v>
      </c>
      <c r="D39" s="131">
        <f t="shared" si="1"/>
        <v>12.4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13022962</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Wakefield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238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f>IF('School Level Expenditures'!$B$2=A241,'School Tables'!H241,"")</f>
        <v>238</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2024-10-28T15:11:41Z</cp:lastPrinted>
  <dcterms:created xsi:type="dcterms:W3CDTF">1997-12-04T19:04:30Z</dcterms:created>
  <dcterms:modified xsi:type="dcterms:W3CDTF">2025-01-06T12:31:37Z</dcterms:modified>
</cp:coreProperties>
</file>