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040C988-B823-4807-BEBA-1AA194AF041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D6" i="14"/>
  <c r="E13" i="17"/>
  <c r="E9" i="17"/>
  <c r="H199" i="1" l="1"/>
  <c r="H234" i="1"/>
  <c r="H576"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H12" i="2" s="1"/>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J652" i="1" s="1"/>
  <c r="H653" i="1"/>
  <c r="G654" i="1"/>
  <c r="H654" i="1"/>
  <c r="H655" i="1"/>
  <c r="H656" i="1"/>
  <c r="I170" i="1" l="1"/>
  <c r="H13" i="2"/>
  <c r="H125" i="2"/>
  <c r="H77" i="2"/>
  <c r="H69" i="2"/>
  <c r="H30" i="2"/>
  <c r="H28" i="2"/>
  <c r="H25" i="2"/>
  <c r="H17" i="2"/>
  <c r="H38" i="2"/>
  <c r="H43" i="2"/>
  <c r="H35" i="2"/>
  <c r="H9" i="2"/>
  <c r="E13" i="13"/>
  <c r="C13" i="13" s="1"/>
  <c r="H102" i="2"/>
  <c r="H100" i="2"/>
  <c r="H98" i="2"/>
  <c r="H73" i="2"/>
  <c r="H15" i="2"/>
  <c r="H11" i="2"/>
  <c r="H143" i="2"/>
  <c r="I409" i="1"/>
  <c r="H96" i="2"/>
  <c r="E124" i="2"/>
  <c r="C13" i="10"/>
  <c r="D144" i="2"/>
  <c r="H89" i="2"/>
  <c r="H59" i="2"/>
  <c r="H34" i="2"/>
  <c r="H21" i="2"/>
  <c r="D15" i="13"/>
  <c r="C15" i="13" s="1"/>
  <c r="C12" i="10"/>
  <c r="G409" i="1"/>
  <c r="H646" i="1" s="1"/>
  <c r="H94" i="2"/>
  <c r="H29" i="2"/>
  <c r="H27" i="2"/>
  <c r="H24" i="2"/>
  <c r="H132" i="2"/>
  <c r="H36" i="2"/>
  <c r="H44" i="2"/>
  <c r="H48" i="2"/>
  <c r="H101" i="2"/>
  <c r="H99" i="2"/>
  <c r="H79" i="2"/>
  <c r="H76" i="2"/>
  <c r="H58" i="2"/>
  <c r="H113" i="2"/>
  <c r="K36" i="14"/>
  <c r="K37" i="14" s="1"/>
  <c r="H477" i="1"/>
  <c r="H625" i="1" s="1"/>
  <c r="J625" i="1" s="1"/>
  <c r="G477" i="1"/>
  <c r="H624" i="1" s="1"/>
  <c r="J624" i="1" s="1"/>
  <c r="D29" i="13"/>
  <c r="G662" i="1"/>
  <c r="C120" i="2"/>
  <c r="H120" i="2" s="1"/>
  <c r="C119" i="2"/>
  <c r="C112" i="2"/>
  <c r="H112" i="2" s="1"/>
  <c r="K2" i="14"/>
  <c r="K3" i="14" s="1"/>
  <c r="H47" i="2"/>
  <c r="H23"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H138" i="2" s="1"/>
  <c r="L363" i="1"/>
  <c r="B17" i="16" s="1"/>
  <c r="B19" i="16" s="1"/>
  <c r="B28" i="16"/>
  <c r="L329" i="1"/>
  <c r="E122" i="2"/>
  <c r="H122" i="2" s="1"/>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H50" i="2" s="1"/>
  <c r="F31" i="2"/>
  <c r="C31" i="2"/>
  <c r="H31" i="2" s="1"/>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131" i="2"/>
  <c r="H134" i="2"/>
  <c r="H85" i="2"/>
  <c r="H16" i="2"/>
  <c r="H103" i="2"/>
  <c r="B33" i="16"/>
  <c r="H42" i="2"/>
  <c r="H123" i="2"/>
  <c r="D128" i="2"/>
  <c r="D145" i="2" s="1"/>
  <c r="H127" i="2"/>
  <c r="I662" i="1"/>
  <c r="H119" i="2"/>
  <c r="H91" i="2"/>
  <c r="E81" i="2"/>
  <c r="E104" i="2" s="1"/>
  <c r="H78" i="2"/>
  <c r="C81" i="2"/>
  <c r="F194" i="1"/>
  <c r="G628" i="1" s="1"/>
  <c r="J628" i="1" s="1"/>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H8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<sst xmlns="http://schemas.openxmlformats.org/spreadsheetml/2006/main" count="6641" uniqueCount="1843">
  <si>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</si>
  <si>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</si>
  <si>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</si>
  <si>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</si>
  <si>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</si>
  <si>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</si>
  <si>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</si>
  <si>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</si>
  <si>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</si>
  <si>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</si>
  <si>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</si>
  <si>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</si>
  <si>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</si>
  <si>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</si>
  <si>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</si>
  <si>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</si>
  <si>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</si>
  <si>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</si>
  <si>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</si>
  <si>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</si>
  <si>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</si>
  <si>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</si>
  <si>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</si>
  <si>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</si>
  <si>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</si>
  <si>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</si>
  <si>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</si>
  <si>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</si>
  <si>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</si>
  <si>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</si>
  <si>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</si>
  <si>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</si>
  <si>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</si>
  <si>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</si>
  <si>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</si>
  <si>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</si>
  <si>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</si>
  <si>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</si>
  <si>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</si>
  <si>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</si>
  <si>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</si>
  <si>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</si>
  <si>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</si>
  <si>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</si>
  <si>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</si>
  <si>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</si>
  <si>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</si>
  <si>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</si>
  <si>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</si>
  <si>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</si>
  <si>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</si>
  <si>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</si>
  <si>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</si>
  <si>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</si>
  <si>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</si>
  <si>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</si>
  <si>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</si>
  <si>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</si>
  <si>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</si>
  <si>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</si>
  <si>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</si>
  <si>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</si>
  <si>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</si>
  <si>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</si>
  <si>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</si>
  <si>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</si>
  <si>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</si>
  <si>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</si>
  <si>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</si>
  <si>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</si>
  <si>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</si>
  <si>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</si>
  <si>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</si>
  <si>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</si>
  <si>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</si>
  <si>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</si>
  <si>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</si>
  <si>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</si>
  <si>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</si>
  <si>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</si>
  <si>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</si>
  <si>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</si>
  <si>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</si>
  <si>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</si>
  <si>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</si>
  <si>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</si>
  <si>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</si>
  <si>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</si>
  <si>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</si>
  <si>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</si>
  <si>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</si>
  <si>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</si>
  <si>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</si>
  <si>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</si>
  <si>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</si>
  <si>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</si>
  <si>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</si>
  <si>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</si>
  <si>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</si>
  <si>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</si>
  <si>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</si>
  <si>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</si>
  <si>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</si>
  <si>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</si>
  <si>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</si>
  <si>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</si>
  <si>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</si>
  <si>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</si>
  <si>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</si>
  <si>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</si>
  <si>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</si>
  <si>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</si>
  <si>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</si>
  <si>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</si>
  <si>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</si>
  <si>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</si>
  <si>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</si>
  <si>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</si>
  <si>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</si>
  <si>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</si>
  <si>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</si>
  <si>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</si>
  <si>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</si>
  <si>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</si>
  <si>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</si>
  <si>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</si>
  <si>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</si>
  <si>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</si>
  <si>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</si>
  <si>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</si>
  <si>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</si>
  <si>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</si>
  <si>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</si>
  <si>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</si>
  <si>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</si>
  <si>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</si>
  <si>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</si>
  <si>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</si>
  <si>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</si>
  <si>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</si>
  <si>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</si>
  <si>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</si>
  <si>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</si>
  <si>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</si>
  <si>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</si>
  <si>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</si>
  <si>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</si>
  <si>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</si>
  <si>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</si>
  <si>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</si>
  <si>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</si>
  <si>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</si>
  <si>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</si>
  <si>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</si>
  <si>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</si>
  <si>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</si>
  <si>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</si>
  <si>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</si>
  <si>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</si>
  <si>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</si>
  <si>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</si>
  <si>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</si>
  <si>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</si>
  <si>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</si>
  <si>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</si>
  <si>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</si>
  <si>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</si>
  <si>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</si>
  <si>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</si>
  <si>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</si>
  <si>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</si>
  <si>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</si>
  <si>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</si>
  <si>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</si>
  <si>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</si>
  <si>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</si>
  <si>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</si>
  <si>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</si>
  <si>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</si>
  <si>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</si>
  <si>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</si>
  <si>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</si>
  <si>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</si>
  <si>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</si>
  <si>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</si>
  <si>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</si>
  <si>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</si>
  <si>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</si>
  <si>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</si>
  <si>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</si>
  <si>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</si>
  <si>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</si>
  <si>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</si>
  <si>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</si>
  <si>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</si>
  <si>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</si>
  <si>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</si>
  <si>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</si>
  <si>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</si>
  <si>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</si>
  <si>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</si>
  <si>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</si>
  <si>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</si>
  <si>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</si>
  <si>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</si>
  <si>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</si>
  <si>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</si>
  <si>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</si>
  <si>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</si>
  <si>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</si>
  <si>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</si>
  <si>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</si>
  <si>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</si>
  <si>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</si>
  <si>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</si>
  <si>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</si>
  <si>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</si>
  <si>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</si>
  <si>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</si>
  <si>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</si>
  <si>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</si>
  <si>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</si>
  <si>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</si>
  <si>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</si>
  <si>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</si>
  <si>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</si>
  <si>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</si>
  <si>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</si>
  <si>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</si>
  <si>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</si>
  <si>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</si>
  <si>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</si>
  <si>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</si>
  <si>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</si>
  <si>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</si>
  <si>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</si>
  <si>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</si>
  <si>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</si>
  <si>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</si>
  <si>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</si>
  <si>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</si>
  <si>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</si>
  <si>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</si>
  <si>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</si>
  <si>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</si>
  <si>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</si>
  <si>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</si>
  <si>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</si>
  <si>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</si>
  <si>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</si>
  <si>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</si>
  <si>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</si>
  <si>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</si>
  <si>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</si>
  <si>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</si>
  <si>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</si>
  <si>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</si>
  <si>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</si>
  <si>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</si>
  <si>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</si>
  <si>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</si>
  <si>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</si>
  <si>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</si>
  <si>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</si>
  <si>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</si>
  <si>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</si>
  <si>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</si>
  <si>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</si>
  <si>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</si>
  <si>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</si>
  <si>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</si>
  <si>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</si>
  <si>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</si>
  <si>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</si>
  <si>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</si>
  <si>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</si>
  <si>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</si>
  <si>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</si>
  <si>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</si>
  <si>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</si>
  <si>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</si>
  <si>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</si>
  <si>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</si>
  <si>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</si>
  <si>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</si>
  <si>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</si>
  <si>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</si>
  <si>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</si>
  <si>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</si>
  <si>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</si>
  <si>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</si>
  <si>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</si>
  <si>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</si>
  <si>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</si>
  <si>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</si>
  <si>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</si>
  <si>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</si>
  <si>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</si>
  <si>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</si>
  <si>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</si>
  <si>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</si>
  <si>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</si>
  <si>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</si>
  <si>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</si>
  <si>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</si>
  <si>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</si>
  <si>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</si>
  <si>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</si>
  <si>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</si>
  <si>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</si>
  <si>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</si>
  <si>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</si>
  <si>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</si>
  <si>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</si>
  <si>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</si>
  <si>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</si>
  <si>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</si>
  <si>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</si>
  <si>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</si>
  <si>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</si>
  <si>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</si>
  <si>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</si>
  <si>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</si>
  <si>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</si>
  <si>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</si>
  <si>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</si>
  <si>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</si>
  <si>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</si>
  <si>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</si>
  <si>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</si>
  <si>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</si>
  <si>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</si>
  <si>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</si>
  <si>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</si>
  <si>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</si>
  <si>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</si>
  <si>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</si>
  <si>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</si>
  <si>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</si>
  <si>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</si>
  <si>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</si>
  <si>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</si>
  <si>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</si>
  <si>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</si>
  <si>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</si>
  <si>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</si>
  <si>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</si>
  <si>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</si>
  <si>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</si>
  <si>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</si>
  <si>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</si>
  <si>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</si>
  <si>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</si>
  <si>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</si>
  <si>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</si>
  <si>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</si>
  <si>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</si>
  <si>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</si>
  <si>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</si>
  <si>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</si>
  <si>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</si>
  <si>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</si>
  <si>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</si>
  <si>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</si>
  <si>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</si>
  <si>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</si>
  <si>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</si>
  <si>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</si>
  <si>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</si>
  <si>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</si>
  <si>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</si>
  <si>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</si>
  <si>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</si>
  <si>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</si>
  <si>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</si>
  <si>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</si>
  <si>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</si>
  <si>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</si>
  <si>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</si>
  <si>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</si>
  <si>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</si>
  <si>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</si>
  <si>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</si>
  <si>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</si>
  <si>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</si>
  <si>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</si>
  <si>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</si>
  <si>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</si>
  <si>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</si>
  <si>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</si>
  <si>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</si>
  <si>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</si>
  <si>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</si>
  <si>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</si>
  <si>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</si>
  <si>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</si>
  <si>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</si>
  <si>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</si>
  <si>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</si>
  <si>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</si>
  <si>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</si>
  <si>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</si>
  <si>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</si>
  <si>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</si>
  <si>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</si>
  <si>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</si>
  <si>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</si>
  <si>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</si>
  <si>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</si>
  <si>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</si>
  <si>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</si>
  <si>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</si>
  <si>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</si>
  <si>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</si>
  <si>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</si>
  <si>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</si>
  <si>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</si>
  <si>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</si>
  <si>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</si>
  <si>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</si>
  <si>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</si>
  <si>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</si>
  <si>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</si>
  <si>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</si>
  <si>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</si>
  <si>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</si>
  <si>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</si>
  <si>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</si>
  <si>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</si>
  <si>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</si>
  <si>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</si>
  <si>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</si>
  <si>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</si>
  <si>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</si>
  <si>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</si>
  <si>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</si>
  <si>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</si>
  <si>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</si>
  <si>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</si>
  <si>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</si>
  <si>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</si>
  <si>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</si>
  <si>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</si>
  <si>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</si>
  <si>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</si>
  <si>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</si>
  <si>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</si>
  <si>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</si>
  <si>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</si>
  <si>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</si>
  <si>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</si>
  <si>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</si>
  <si>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</si>
  <si>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</si>
  <si>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</si>
  <si>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</si>
  <si>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</si>
  <si>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</si>
  <si>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</si>
  <si>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</si>
  <si>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</si>
  <si>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</si>
  <si>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</si>
  <si>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</si>
  <si>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</si>
  <si>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</si>
  <si>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</si>
  <si>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</si>
  <si>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</si>
  <si>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</si>
  <si>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</si>
  <si>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</si>
  <si>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</si>
  <si>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</si>
  <si>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</si>
  <si>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</si>
  <si>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</si>
  <si>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</si>
  <si>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</si>
  <si>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</si>
  <si>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</si>
  <si>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</si>
  <si>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</si>
  <si>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</si>
  <si>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</si>
  <si>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</si>
  <si>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</si>
  <si>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</si>
  <si>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</si>
  <si>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</si>
  <si>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</si>
  <si>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</si>
  <si>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</si>
  <si>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</si>
  <si>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</si>
  <si>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</si>
  <si>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</si>
  <si>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</si>
  <si>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</si>
  <si>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</si>
  <si>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</si>
  <si>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</si>
  <si>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</si>
  <si>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</si>
  <si>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</si>
  <si>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</si>
  <si>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</si>
  <si>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</si>
  <si>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</si>
  <si>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</si>
  <si>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</si>
  <si>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</si>
  <si>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</si>
  <si>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</si>
  <si>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</si>
  <si>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</si>
  <si>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</si>
  <si>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</si>
  <si>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</si>
  <si>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</si>
  <si>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</si>
  <si>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</si>
  <si>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</si>
  <si>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</si>
  <si>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</si>
  <si>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</si>
  <si>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</si>
  <si>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</si>
  <si>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</si>
  <si>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</si>
  <si>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</si>
  <si>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</si>
  <si>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</si>
  <si>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</si>
  <si>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</si>
  <si>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</si>
  <si>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</si>
  <si>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</si>
  <si>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</si>
  <si>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</si>
  <si>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</si>
  <si>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</si>
  <si>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</si>
  <si>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</si>
  <si>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</si>
  <si>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</si>
  <si>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</si>
  <si>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</si>
  <si>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</si>
  <si>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</si>
  <si>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</si>
  <si>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</si>
  <si>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</si>
  <si>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</si>
  <si>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</si>
  <si>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</si>
  <si>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</si>
  <si>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</si>
  <si>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</si>
  <si>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</si>
  <si>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</si>
  <si>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</si>
  <si>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</si>
  <si>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</si>
  <si>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</si>
  <si>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</si>
  <si>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</si>
  <si>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</si>
  <si>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</si>
  <si>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</si>
  <si>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</si>
  <si>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</si>
  <si>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</si>
  <si>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</si>
  <si>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</si>
  <si>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</si>
  <si>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</si>
  <si>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</si>
  <si>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</si>
  <si>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</si>
  <si>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</si>
  <si>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</si>
  <si>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</si>
  <si>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</si>
  <si>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</si>
  <si>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</si>
  <si>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</si>
  <si>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</si>
  <si>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</si>
  <si>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</si>
  <si>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</si>
  <si>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</si>
  <si>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</si>
  <si>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</si>
  <si>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</si>
  <si>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</si>
  <si>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</si>
  <si>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</si>
  <si>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</si>
  <si>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</si>
  <si>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</si>
  <si>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</si>
  <si>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</si>
  <si>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</si>
  <si>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</si>
  <si>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</si>
  <si>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</si>
  <si>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</si>
  <si>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</si>
  <si>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</si>
  <si>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</si>
  <si>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</si>
  <si>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</si>
  <si>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</si>
  <si>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</si>
  <si>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</si>
  <si>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</si>
  <si>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</si>
  <si>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</si>
  <si>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</si>
  <si>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</si>
  <si>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</si>
  <si>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</si>
  <si>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</si>
  <si>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</si>
  <si>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</si>
  <si>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</si>
  <si>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</si>
  <si>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</si>
  <si>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</si>
  <si>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</si>
  <si>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</si>
  <si>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</si>
  <si>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</si>
  <si>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</si>
  <si>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</si>
  <si>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</si>
  <si>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</si>
  <si>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</si>
  <si>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</si>
  <si>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</si>
  <si>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</si>
  <si>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</si>
  <si>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</si>
  <si>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</si>
  <si>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</si>
  <si>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</si>
  <si>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</si>
  <si>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</si>
  <si>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</si>
  <si>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</si>
  <si>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</si>
  <si>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</si>
  <si>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</si>
  <si>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</si>
  <si>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</si>
  <si>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</si>
  <si>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</si>
  <si>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</si>
  <si>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</si>
  <si>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</si>
  <si>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</si>
  <si>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</si>
  <si>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</si>
  <si>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</si>
  <si>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</si>
  <si>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</si>
  <si>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</si>
  <si>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</si>
  <si>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</si>
  <si>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</si>
  <si>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</si>
  <si>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</si>
  <si>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</si>
  <si>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</si>
  <si>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</si>
  <si>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</si>
  <si>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</si>
  <si>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</si>
  <si>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</si>
  <si>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</si>
  <si>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</si>
  <si>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</si>
  <si>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</si>
  <si>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</si>
  <si>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</si>
  <si>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</si>
  <si>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</si>
  <si>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</si>
  <si>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</si>
  <si>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</si>
  <si>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</si>
  <si>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</si>
  <si>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</si>
  <si>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</si>
  <si>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</si>
  <si>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</si>
  <si>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</si>
  <si>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</si>
  <si>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</si>
  <si>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</si>
  <si>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</si>
  <si>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</si>
  <si>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</si>
  <si>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</si>
  <si>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</si>
  <si>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</si>
  <si>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</si>
  <si>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</si>
  <si>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</si>
  <si>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</si>
  <si>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</si>
  <si>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</si>
  <si>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</si>
  <si>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</si>
  <si>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</si>
  <si>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</si>
  <si>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</si>
  <si>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</si>
  <si>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</si>
  <si>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</si>
  <si>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</si>
  <si>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</si>
  <si>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</si>
  <si>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</si>
  <si>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</si>
  <si>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</si>
  <si>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</si>
  <si>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</si>
  <si>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</si>
  <si>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</si>
  <si>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</si>
  <si>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</si>
  <si>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</si>
  <si>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</si>
  <si>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</si>
  <si>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</si>
  <si>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</si>
  <si>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</si>
  <si>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</si>
  <si>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</si>
  <si>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</si>
  <si>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</si>
  <si>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</si>
  <si>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</si>
  <si>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</si>
  <si>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</si>
  <si>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</si>
  <si>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</si>
  <si>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</si>
  <si>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</si>
  <si>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</si>
  <si>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</si>
  <si>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</si>
  <si>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</si>
  <si>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</si>
  <si>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</si>
  <si>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</si>
  <si>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</si>
  <si>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</si>
  <si>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</si>
  <si>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</si>
  <si>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</si>
  <si>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</si>
  <si>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</si>
  <si>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</si>
  <si>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</si>
  <si>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</si>
  <si>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</si>
  <si>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</si>
  <si>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</si>
  <si>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</si>
  <si>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</si>
  <si>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</si>
  <si>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</si>
  <si>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</si>
  <si>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</si>
  <si>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</si>
  <si>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</si>
  <si>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</si>
  <si>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</si>
  <si>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</si>
  <si>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</si>
  <si>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</si>
  <si>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</si>
  <si>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</si>
  <si>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</si>
  <si>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</si>
  <si>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</si>
  <si>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</si>
  <si>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</si>
  <si>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</si>
  <si>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</si>
  <si>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</si>
  <si>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</si>
  <si>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</si>
  <si>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</si>
  <si>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</si>
  <si>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</si>
  <si>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</si>
  <si>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</si>
  <si>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</si>
  <si>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</si>
  <si>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</si>
  <si>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</si>
  <si>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</si>
  <si>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</si>
  <si>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</si>
  <si>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</si>
  <si>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</si>
  <si>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</si>
  <si>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</si>
  <si>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</si>
  <si>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</si>
  <si>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</si>
  <si>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</si>
  <si>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</si>
  <si>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</si>
  <si>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</si>
  <si>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</si>
  <si>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</si>
  <si>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</si>
  <si>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</si>
  <si>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</si>
  <si>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</si>
  <si>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</si>
  <si>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</si>
  <si>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</si>
  <si>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</si>
  <si>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</si>
  <si>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</si>
  <si>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</si>
  <si>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</si>
  <si>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</si>
  <si>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</si>
  <si>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</si>
  <si>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</si>
  <si>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</si>
  <si>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</si>
  <si>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</si>
  <si>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</si>
  <si>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</si>
  <si>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</si>
  <si>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</si>
  <si>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</si>
  <si>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</si>
  <si>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</si>
  <si>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</si>
  <si>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</si>
  <si>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</si>
  <si>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</si>
  <si>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</si>
  <si>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</si>
  <si>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</si>
  <si>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</si>
  <si>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</si>
  <si>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</si>
  <si>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</si>
  <si>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</si>
  <si>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</si>
  <si>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</si>
  <si>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</si>
  <si>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</si>
  <si>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</si>
  <si>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</si>
  <si>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</si>
  <si>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</si>
  <si>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</si>
  <si>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</si>
  <si>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</si>
  <si>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</si>
  <si>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</si>
  <si>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</si>
  <si>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</si>
  <si>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</si>
  <si>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</si>
  <si>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</si>
  <si>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</si>
  <si>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</si>
  <si>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</si>
  <si>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</si>
  <si>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</si>
  <si>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</si>
  <si>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</si>
  <si>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</si>
  <si>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</si>
  <si>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</si>
  <si>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</si>
  <si>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</si>
  <si>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</si>
  <si>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</si>
  <si>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</si>
  <si>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</si>
  <si>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</si>
  <si>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</si>
  <si>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</si>
  <si>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</si>
  <si>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</si>
  <si>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</si>
  <si>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</si>
  <si>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</si>
  <si>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</si>
  <si>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</si>
  <si>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</si>
  <si>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</si>
  <si>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</si>
  <si>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</si>
  <si>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</si>
  <si>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</si>
  <si>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</si>
  <si>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</si>
  <si>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</si>
  <si>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</si>
  <si>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</si>
  <si>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</si>
  <si>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</si>
  <si>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</si>
  <si>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</si>
  <si>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</si>
  <si>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</si>
  <si>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</si>
  <si>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</si>
  <si>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</si>
  <si>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</si>
  <si>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</si>
  <si>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</si>
  <si>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</si>
  <si>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</si>
  <si>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</si>
  <si>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</si>
  <si>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</si>
  <si>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</si>
  <si>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</si>
  <si>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</si>
  <si>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</si>
  <si>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</si>
  <si>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</si>
  <si>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</si>
  <si>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</si>
  <si>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</si>
  <si>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</si>
  <si>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</si>
  <si>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</si>
  <si>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</si>
  <si>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</si>
  <si>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</si>
  <si>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</si>
  <si>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</si>
  <si>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</si>
  <si>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</si>
  <si>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</si>
  <si>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</si>
  <si>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</si>
  <si>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</si>
  <si>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</si>
  <si>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</si>
  <si>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</si>
  <si>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</si>
  <si>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</si>
  <si>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</si>
  <si>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</si>
  <si>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</si>
  <si>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</si>
  <si>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</si>
  <si>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</si>
  <si>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</si>
  <si>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</si>
  <si>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</si>
  <si>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</si>
  <si>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</si>
  <si>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</si>
  <si>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</si>
  <si>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</si>
  <si>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</si>
  <si>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</si>
  <si>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</si>
  <si>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</si>
  <si>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</si>
  <si>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</si>
  <si>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</si>
  <si>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</si>
  <si>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</si>
  <si>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</si>
  <si>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</si>
  <si>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</si>
  <si>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</si>
  <si>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</si>
  <si>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</si>
  <si>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</si>
  <si>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</si>
  <si>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</si>
  <si>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</si>
  <si>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</si>
  <si>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</si>
  <si>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</si>
  <si>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</si>
  <si>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</si>
  <si>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</si>
  <si>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</si>
  <si>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</si>
  <si>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</si>
  <si>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</si>
  <si>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</si>
  <si>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</si>
  <si>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</si>
  <si>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</si>
  <si>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</si>
  <si>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</si>
  <si>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</si>
  <si>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</si>
  <si>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</si>
  <si>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</si>
  <si>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</si>
  <si>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</si>
  <si>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</si>
  <si>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</si>
  <si>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</si>
  <si>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</si>
  <si>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</si>
  <si>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</si>
  <si>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</si>
  <si>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</si>
  <si>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</si>
  <si>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</si>
  <si>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</si>
  <si>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</si>
  <si>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</si>
  <si>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</si>
  <si>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</si>
  <si>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</si>
  <si>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</si>
  <si>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</si>
  <si>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</si>
  <si>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</si>
  <si>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</si>
  <si>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</si>
  <si>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</si>
  <si>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</si>
  <si>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</si>
  <si>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</si>
  <si>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</si>
  <si>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</si>
  <si>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</si>
  <si>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</si>
  <si>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</si>
  <si>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</si>
  <si>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</si>
  <si>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</si>
  <si>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</si>
  <si>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</si>
  <si>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</si>
  <si>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</si>
  <si>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</si>
  <si>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</si>
  <si>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</si>
  <si>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</si>
  <si>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</si>
  <si>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</si>
  <si>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</si>
  <si>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</si>
  <si>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</si>
  <si>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</si>
  <si>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</si>
  <si>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</si>
  <si>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</si>
  <si>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</si>
  <si>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</si>
  <si>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</si>
  <si>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</si>
  <si>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</si>
  <si>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</si>
  <si>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</si>
  <si>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</si>
  <si>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</si>
  <si>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</si>
  <si>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</si>
  <si>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</si>
  <si>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</si>
  <si>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</si>
  <si>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</si>
  <si>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</si>
  <si>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</si>
  <si>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</si>
  <si>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</si>
  <si>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</si>
  <si>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</si>
  <si>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</si>
  <si>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</si>
  <si>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</si>
  <si>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</si>
  <si>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</si>
  <si>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</si>
  <si>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</si>
  <si>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</si>
  <si>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</si>
  <si>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</si>
  <si>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</si>
  <si>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</si>
  <si>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</si>
  <si>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</si>
  <si>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</si>
  <si>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</si>
  <si>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</si>
  <si>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</si>
  <si>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</si>
  <si>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</si>
  <si>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</si>
  <si>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</si>
  <si>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</si>
  <si>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</si>
  <si>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</si>
  <si>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</si>
  <si>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</si>
  <si>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</si>
  <si>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</si>
  <si>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</si>
  <si>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</si>
  <si>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</si>
  <si>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</si>
  <si>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</si>
  <si>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</si>
  <si>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</si>
  <si>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</si>
  <si>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</si>
  <si>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</si>
  <si>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</si>
  <si>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</si>
  <si>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</si>
  <si>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</si>
  <si>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</si>
  <si>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</si>
  <si>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</si>
  <si>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</si>
  <si>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</si>
  <si>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</si>
  <si>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</si>
  <si>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</si>
  <si>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</si>
  <si>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</si>
  <si>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</si>
  <si>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</si>
  <si>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</si>
  <si>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</si>
  <si>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</si>
  <si>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</si>
  <si>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</si>
  <si>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</si>
  <si>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</si>
  <si>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</si>
  <si>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</si>
  <si>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</si>
  <si>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</si>
  <si>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</si>
  <si>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</si>
  <si>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</si>
  <si>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</si>
  <si>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</si>
  <si>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</si>
  <si>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</si>
  <si>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</si>
  <si>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</si>
  <si>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</si>
  <si>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</si>
  <si>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</si>
  <si>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</si>
  <si>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</si>
  <si>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</si>
  <si>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</si>
  <si>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</si>
  <si>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</si>
  <si>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</si>
  <si>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</si>
  <si>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</si>
  <si>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</si>
  <si>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</si>
  <si>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</si>
  <si>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</si>
  <si>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</si>
  <si>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</si>
  <si>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</si>
  <si>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</si>
  <si>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</si>
  <si>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</si>
  <si>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</si>
  <si>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</si>
  <si>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</si>
  <si>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</si>
  <si>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</si>
  <si>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</si>
  <si>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</si>
  <si>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</si>
  <si>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</si>
  <si>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</si>
  <si>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</si>
  <si>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</si>
  <si>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</si>
  <si>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</si>
  <si>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</si>
  <si>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</si>
  <si>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</si>
  <si>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</si>
  <si>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</si>
  <si>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</si>
  <si>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</si>
  <si>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</si>
  <si>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</si>
  <si>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</si>
  <si>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</si>
  <si>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</si>
  <si>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</si>
  <si>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</si>
  <si>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</si>
  <si>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</si>
  <si>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</si>
  <si>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</si>
  <si>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</si>
  <si>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</si>
  <si>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</si>
  <si>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</si>
  <si>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</si>
  <si>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</si>
  <si>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</si>
  <si>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</si>
  <si>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</si>
  <si>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</si>
  <si>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</si>
  <si>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</si>
  <si>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</si>
  <si>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</si>
  <si>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</si>
  <si>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</si>
  <si>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</si>
  <si>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</si>
  <si>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</si>
  <si>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</si>
  <si>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</si>
  <si>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</si>
  <si>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</si>
  <si>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</si>
  <si>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</si>
  <si>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</si>
  <si>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</si>
  <si>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</si>
  <si>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</si>
  <si>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</si>
  <si>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</si>
  <si>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</si>
  <si>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</si>
  <si>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</si>
  <si>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</si>
  <si>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</si>
  <si>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</si>
  <si>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</si>
  <si>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</si>
  <si>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</si>
  <si>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</si>
  <si>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</si>
  <si>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</si>
  <si>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</si>
  <si>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</si>
  <si>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</si>
  <si>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</si>
  <si>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</si>
  <si>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</si>
  <si>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</si>
  <si>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</si>
  <si>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</si>
  <si>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</si>
  <si>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</si>
  <si>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</si>
  <si>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</si>
  <si>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</si>
  <si>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</si>
  <si>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</si>
  <si>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</si>
  <si>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</si>
  <si>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</si>
  <si>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</si>
  <si>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</si>
  <si>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</si>
  <si>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</si>
  <si>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</si>
  <si>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</si>
  <si>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</si>
  <si>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</si>
  <si>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</si>
  <si>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</si>
  <si>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</si>
  <si>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</si>
  <si>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</si>
  <si>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</si>
  <si>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</si>
  <si>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</si>
  <si>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</si>
  <si>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</si>
  <si>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</si>
  <si>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</si>
  <si>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</si>
  <si>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</si>
  <si>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</si>
  <si>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</si>
  <si>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</si>
  <si>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</si>
  <si>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</si>
  <si>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</si>
  <si>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</si>
  <si>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</si>
  <si>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</si>
  <si>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</si>
  <si>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</si>
  <si>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</si>
  <si>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</si>
  <si>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</si>
  <si>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</si>
  <si>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</si>
  <si>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</si>
  <si>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</si>
  <si>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</si>
  <si>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</si>
  <si>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</si>
  <si>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</si>
  <si>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</si>
  <si>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</si>
  <si>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</si>
  <si>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</si>
  <si>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</si>
  <si>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</si>
  <si>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</si>
  <si>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</si>
  <si>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</si>
  <si>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</si>
  <si>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</si>
  <si>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</si>
  <si>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</si>
  <si>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</si>
  <si>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</si>
  <si>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</si>
  <si>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</si>
  <si>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</si>
  <si>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</si>
  <si>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</si>
  <si>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</si>
  <si>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</si>
  <si>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</si>
  <si>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</si>
  <si>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</si>
  <si>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</si>
  <si>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</si>
  <si>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</si>
  <si>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</si>
  <si>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</si>
  <si>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</si>
  <si>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</si>
  <si>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</si>
  <si>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</si>
  <si>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</si>
  <si>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</si>
  <si>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</si>
  <si>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</si>
  <si>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</si>
  <si>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</si>
  <si>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</si>
  <si>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</si>
  <si>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</si>
  <si>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</si>
  <si>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</si>
  <si>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</si>
  <si>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</si>
  <si>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</si>
  <si>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</si>
  <si>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</si>
  <si>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</si>
  <si>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</si>
  <si>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</si>
  <si>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</si>
  <si>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</si>
  <si>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</si>
  <si>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</si>
  <si>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</si>
  <si>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</si>
  <si>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</si>
  <si>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</si>
  <si>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</si>
  <si>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</si>
  <si>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</si>
  <si>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</si>
  <si>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</si>
  <si>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</si>
  <si>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</si>
  <si>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</si>
  <si>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</si>
  <si>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</si>
  <si>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</si>
  <si>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</si>
  <si>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</si>
  <si>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</si>
  <si>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</si>
  <si>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</si>
  <si>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</si>
  <si>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</si>
  <si>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</si>
  <si>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</si>
  <si>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</si>
  <si>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</si>
  <si>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</si>
  <si>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</si>
  <si>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</si>
  <si>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</si>
  <si>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</si>
  <si>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</si>
  <si>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</si>
  <si>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</si>
  <si>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</si>
  <si>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</si>
  <si>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</si>
  <si>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</si>
  <si>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</si>
  <si>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</si>
  <si>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</si>
  <si>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</si>
  <si>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</si>
  <si>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</si>
  <si>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</si>
  <si>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</si>
  <si>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</si>
  <si>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</si>
  <si>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</si>
  <si>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</si>
  <si>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</si>
  <si>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</si>
  <si>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</si>
  <si>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</si>
  <si>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</si>
  <si>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</si>
  <si>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</si>
  <si>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</si>
  <si>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</si>
  <si>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</si>
  <si>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</si>
  <si>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</si>
  <si>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</si>
  <si>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</si>
  <si>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</si>
  <si>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</si>
  <si>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</si>
  <si>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</si>
  <si>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</si>
  <si>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</si>
  <si>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</si>
  <si>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</si>
  <si>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</si>
  <si>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</si>
  <si>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</si>
  <si>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</si>
  <si>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</si>
  <si>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</si>
  <si>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</si>
  <si>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</si>
  <si>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</si>
  <si>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</si>
  <si>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</si>
  <si>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</si>
  <si>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</si>
  <si>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</si>
  <si>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</si>
  <si>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</si>
  <si>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</si>
  <si>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</si>
  <si>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</si>
  <si>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</si>
  <si>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</si>
  <si>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</si>
  <si>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</si>
  <si>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</si>
  <si>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</si>
  <si>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</si>
  <si>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</si>
  <si>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</si>
  <si>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</si>
  <si>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</si>
  <si>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</si>
  <si>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</si>
  <si>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</si>
  <si>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</si>
  <si>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</si>
  <si>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</si>
  <si>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</si>
  <si>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</si>
  <si>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</si>
  <si>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</si>
  <si>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</si>
  <si>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</si>
  <si>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</si>
  <si>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</si>
  <si>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</si>
  <si>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</si>
  <si>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</si>
  <si>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</si>
  <si>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</si>
  <si>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</si>
  <si>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</si>
  <si>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</si>
  <si>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</si>
  <si>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</si>
  <si>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</si>
  <si>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</si>
  <si>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</si>
  <si>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</si>
  <si>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</si>
  <si>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</si>
  <si>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</si>
  <si>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</si>
  <si>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</si>
  <si>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</si>
  <si>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</si>
  <si>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</si>
  <si>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</si>
  <si>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</si>
  <si>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</si>
  <si>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</si>
  <si>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</si>
  <si>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</si>
  <si>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</si>
  <si>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</si>
  <si>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</si>
  <si>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</si>
  <si>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</si>
  <si>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</si>
  <si>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</si>
  <si>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</si>
  <si>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</si>
  <si>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</si>
  <si>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</si>
  <si>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</si>
  <si>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</si>
  <si>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</si>
  <si>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</si>
  <si>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</si>
  <si>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</si>
  <si>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</si>
  <si>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</si>
  <si>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</si>
  <si>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</si>
  <si>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</si>
  <si>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</si>
  <si>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</si>
  <si>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</si>
  <si>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</si>
  <si>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</si>
  <si>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</si>
  <si>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</si>
  <si>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</si>
  <si>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</si>
  <si>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</si>
  <si>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</si>
  <si>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</si>
  <si>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</si>
  <si>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</si>
  <si>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</si>
  <si>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</si>
  <si>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</si>
  <si>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</si>
  <si>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</si>
  <si>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</si>
  <si>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</si>
  <si>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</si>
  <si>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</si>
  <si>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</si>
  <si>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</si>
  <si>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</si>
  <si>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</si>
  <si>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</si>
  <si>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</si>
  <si>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</si>
  <si>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</si>
  <si>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</si>
  <si>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</si>
  <si>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</si>
  <si>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</si>
  <si>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</si>
  <si>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</si>
  <si>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</si>
  <si>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</si>
  <si>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</si>
  <si>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</si>
  <si>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</si>
  <si>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</si>
  <si>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</si>
  <si>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</si>
  <si>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</si>
  <si>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</si>
  <si>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</si>
  <si>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</si>
  <si>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</si>
  <si>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</si>
  <si>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</si>
  <si>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</si>
  <si>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</si>
  <si>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</si>
  <si>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</si>
  <si>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</si>
  <si>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</si>
  <si>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</si>
  <si>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</si>
  <si>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</si>
  <si>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</si>
  <si>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</si>
  <si>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</si>
  <si>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</si>
  <si>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</si>
  <si>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</si>
  <si>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</si>
  <si>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</si>
  <si>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</si>
  <si>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</si>
  <si>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</si>
  <si>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</si>
  <si>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</si>
  <si>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</si>
  <si>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</si>
  <si>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</si>
  <si>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</si>
  <si>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</si>
  <si>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</si>
  <si>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</si>
  <si>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</si>
  <si>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</si>
  <si>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</si>
  <si>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</si>
  <si>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</si>
  <si>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</si>
  <si>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</si>
  <si>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</si>
  <si>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</si>
  <si>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</si>
  <si>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</si>
  <si>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</si>
  <si>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</si>
  <si>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</si>
  <si>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</si>
  <si>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</si>
  <si>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</si>
  <si>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</si>
  <si>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</si>
  <si>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</si>
  <si>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</si>
  <si>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</si>
  <si>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</si>
  <si>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</si>
  <si>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</si>
  <si>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</si>
  <si>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</si>
  <si>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</si>
  <si>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</si>
  <si>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</si>
  <si>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</si>
  <si>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</si>
  <si>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</si>
  <si>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</si>
  <si>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</si>
  <si>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</si>
  <si>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</si>
  <si>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</si>
  <si>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</si>
  <si>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</si>
  <si>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</si>
  <si>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</si>
  <si>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</si>
  <si>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</si>
  <si>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</si>
  <si>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</si>
  <si>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</si>
  <si>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</si>
  <si>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</si>
  <si>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</si>
  <si>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</si>
  <si>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</si>
  <si>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</si>
  <si>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</si>
  <si>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</si>
  <si>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</si>
  <si>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</si>
  <si>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</si>
  <si>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</si>
  <si>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</si>
  <si>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</si>
  <si>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</si>
  <si>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</si>
  <si>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</si>
  <si>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</si>
  <si>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</si>
  <si>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</si>
  <si>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</si>
  <si>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</si>
  <si>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</si>
  <si>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</si>
  <si>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</si>
  <si>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</si>
  <si>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</si>
  <si>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</si>
  <si>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</si>
  <si>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</si>
  <si>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</si>
  <si>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</si>
  <si>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</si>
  <si>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</si>
  <si>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</si>
  <si>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</si>
  <si>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</si>
  <si>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</si>
  <si>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</si>
  <si>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</si>
  <si>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</si>
  <si>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</si>
  <si>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</si>
  <si>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</si>
  <si>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</si>
  <si>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</si>
  <si>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</si>
  <si>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</si>
  <si>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</si>
  <si>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</si>
  <si>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</si>
  <si>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</si>
  <si>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</si>
  <si>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</si>
  <si>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</si>
  <si>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</si>
  <si>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</si>
  <si>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</si>
  <si>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</si>
  <si>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</si>
  <si>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</si>
  <si>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</si>
  <si>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</si>
  <si>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</si>
  <si>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</si>
  <si>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</si>
  <si>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</si>
  <si>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</si>
  <si>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</si>
  <si>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</si>
  <si>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</si>
  <si>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</si>
  <si>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</si>
  <si>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</si>
  <si>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</si>
  <si>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</si>
  <si>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</si>
  <si>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</si>
  <si>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</si>
  <si>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</si>
  <si>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</si>
  <si>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</si>
  <si>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</si>
  <si>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</si>
  <si>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</si>
  <si>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</si>
  <si>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</si>
  <si>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</si>
  <si>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</si>
  <si>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</si>
  <si>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</si>
  <si>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</si>
  <si>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</si>
  <si>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</si>
  <si>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</si>
  <si>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</si>
  <si>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</si>
  <si>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</si>
  <si>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</si>
  <si>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</si>
  <si>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</si>
  <si>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</si>
  <si>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</si>
  <si>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</si>
  <si>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</si>
  <si>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</si>
  <si>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</si>
  <si>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</si>
  <si>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</si>
  <si>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</si>
  <si>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</si>
  <si>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</si>
  <si>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</si>
  <si>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</si>
  <si>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</si>
  <si>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</si>
  <si>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</si>
  <si>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</si>
  <si>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</si>
  <si>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</si>
  <si>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</si>
  <si>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</si>
  <si>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</si>
  <si>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</si>
  <si>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</si>
  <si>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</si>
  <si>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</si>
  <si>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</si>
  <si>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</si>
  <si>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</si>
  <si>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</si>
  <si>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</si>
  <si>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</si>
  <si>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</si>
  <si>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</si>
  <si>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</si>
  <si>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</si>
  <si>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</si>
  <si>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</si>
  <si>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</si>
  <si>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</si>
  <si>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</si>
  <si>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</si>
  <si>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</si>
  <si>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</si>
  <si>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</si>
  <si>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</si>
  <si>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</si>
  <si>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</si>
  <si>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</si>
  <si>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</si>
  <si>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</si>
  <si>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</si>
  <si>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</si>
  <si>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</si>
  <si>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</si>
  <si>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</si>
  <si>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</si>
  <si>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</si>
  <si>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</si>
  <si>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</si>
  <si>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</si>
  <si>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</si>
  <si>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</si>
  <si>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</si>
  <si>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</si>
  <si>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</si>
  <si>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</si>
  <si>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</si>
  <si>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07/22</t>
  </si>
  <si>
    <t>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</si>
</sst>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666" sqref="H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1444</v>
      </c>
      <c r="B2">
        <f>INDEX('School Tables'!$AH$3:$AH$213,MATCH('DOE25'!A2,'School Tables'!$AJ$3:$AJ$213,0))</f>
        <v>553</v>
      </c>
      <c r="C2">
        <f>INDEX('School Tables'!$AI$3:$AI$213,MATCH('DOE25'!A2,'School Tables'!$AJ$3:$AJ$213,0))</f>
        <v>553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356772.13</v>
      </c>
      <c r="G9" s="18">
        <v>735.84</v>
      </c>
      <c r="H9" s="18">
        <v>-7291.44</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v>8913.98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1958.16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358730.29</v>
      </c>
      <c r="G19" s="38">
        <f>SUM(G9:G18)</f>
        <v>735.84</v>
      </c>
      <c r="H19" s="38">
        <f>SUM(H9:H18)</f>
        <v>1622.54</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4101.8900000000003</v>
      </c>
      <c r="G24" s="18"/>
      <c r="H24" s="18">
        <v>1622.53</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840.48</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4942.3700000000008</v>
      </c>
      <c r="G32" s="38">
        <f>SUM(G22:G31)</f>
        <v>0</v>
      </c>
      <c r="H32" s="38">
        <f>SUM(H22:H31)</f>
        <v>1622.53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84461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735.84</v>
      </c>
      <c r="H48" s="18">
        <v>0.01</v>
      </c>
      <c r="I48" s="18"/>
      <c r="J48" s="13">
        <f>SUM(I460)</f>
        <v>0</v>
      </c>
      <c r="K48" s="23" t="s">
        <v>288</v>
      </c>
      <c r="L48" s="23" t="s">
        <v>288</v>
      </c>
      <c r="M48" s="8"/>
      <c r="N48" s="164"/>
    </row>
    <row r="49" spans="1:14" s="3" customFormat="1" ht="12.2" customHeight="1" x14ac:dyDescent="0.15">
      <c r="A49" s="1" t="s">
        <v>855</v>
      </c>
      <c r="B49" s="2" t="s">
        <v>289</v>
      </c>
      <c r="C49" s="6">
        <v>34</v>
      </c>
      <c r="D49" s="2"/>
      <c r="E49" s="6">
        <v>753</v>
      </c>
      <c r="F49" s="18">
        <v>76940.58</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192386.34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353787.92000000004</v>
      </c>
      <c r="G51" s="38">
        <f>SUM(G35:G50)</f>
        <v>735.84</v>
      </c>
      <c r="H51" s="38">
        <f>SUM(H35:H50)</f>
        <v>0.01</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358730.29000000004</v>
      </c>
      <c r="G52" s="38">
        <f>G51+G32</f>
        <v>735.84</v>
      </c>
      <c r="H52" s="38">
        <f>H51+H32</f>
        <v>1622.54</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1061666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1061666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2000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24000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26000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1062.43</v>
      </c>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892.51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1954.94</v>
      </c>
      <c r="G111" s="38">
        <f>SUM(G96:G110)</f>
        <v>0</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1089620.94</v>
      </c>
      <c r="G112" s="38">
        <f>G60+G111</f>
        <v>0</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627557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627557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42030.11</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42030.11</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627557</v>
      </c>
      <c r="G140" s="38">
        <f>G121+SUM(G136:G137)</f>
        <v>0</v>
      </c>
      <c r="H140" s="38">
        <f>H121+SUM(H136:H139)</f>
        <v>42030.11</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21280.53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15966.68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183.49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12872.18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183.49</v>
      </c>
      <c r="G163" s="38">
        <f>SUM(G150:G162)</f>
        <v>0</v>
      </c>
      <c r="H163" s="38">
        <f>SUM(H150:H162)</f>
        <v>50119.39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20665.45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20848.940000000002</v>
      </c>
      <c r="G170" s="38">
        <f>G147+G163+SUM(G164:G169)</f>
        <v>0</v>
      </c>
      <c r="H170" s="38">
        <f>H147+H163+SUM(H164:H169)</f>
        <v>50119.39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1738026.88</v>
      </c>
      <c r="G194" s="38">
        <f>G112+G140+G170+G193</f>
        <v>0</v>
      </c>
      <c r="H194" s="38">
        <f>H112+H140+H170+H193</f>
        <v>92149.5</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395200.11</v>
      </c>
      <c r="G198" s="18">
        <v>217243.36</v>
      </c>
      <c r="H198" s="18">
        <v>8849.67</v>
      </c>
      <c r="I198" s="18">
        <v>26481.13</v>
      </c>
      <c r="J198" s="18">
        <v>7378.8</v>
      </c>
      <c r="K198" s="18">
        <v>75</v>
      </c>
      <c r="L198" s="13">
        <f>SUM(F198:K198)</f>
        <v>655228.07000000007</v>
      </c>
      <c r="M198" s="8"/>
      <c r="N198" s="164"/>
    </row>
    <row r="199" spans="1:14" s="3" customFormat="1" ht="12.2" customHeight="1" x14ac:dyDescent="0.15">
      <c r="A199" s="1" t="s">
        <v>439</v>
      </c>
      <c r="B199" s="2" t="s">
        <v>341</v>
      </c>
      <c r="C199" s="2" t="s">
        <v>291</v>
      </c>
      <c r="D199" s="2" t="s">
        <v>431</v>
      </c>
      <c r="E199" s="6">
        <v>1200</v>
      </c>
      <c r="F199" s="18">
        <v>118823.34</v>
      </c>
      <c r="G199" s="18">
        <v>62592.13</v>
      </c>
      <c r="H199" s="18">
        <f>36479.3-35678</f>
        <v>801.30000000000291</v>
      </c>
      <c r="I199" s="18">
        <v>671.15</v>
      </c>
      <c r="J199" s="18"/>
      <c r="K199" s="18">
        <v>135</v>
      </c>
      <c r="L199" s="13">
        <f>SUM(F199:K199)</f>
        <v>183022.92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2700</v>
      </c>
      <c r="G201" s="18">
        <v>1277.24</v>
      </c>
      <c r="H201" s="18"/>
      <c r="I201" s="18">
        <v>2060.71</v>
      </c>
      <c r="J201" s="18"/>
      <c r="K201" s="18"/>
      <c r="L201" s="13">
        <f>SUM(F201:K201)</f>
        <v>6037.95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26828.400000000001</v>
      </c>
      <c r="G203" s="18">
        <v>9175.3799999999992</v>
      </c>
      <c r="H203" s="18">
        <v>51941.29</v>
      </c>
      <c r="I203" s="18">
        <v>717.85</v>
      </c>
      <c r="J203" s="18"/>
      <c r="K203" s="18"/>
      <c r="L203" s="13">
        <f t="shared" ref="L203:L209" si="0">SUM(F203:K203)</f>
        <v>88662.920000000013</v>
      </c>
      <c r="M203" s="8"/>
      <c r="N203" s="164"/>
    </row>
    <row r="204" spans="1:14" s="3" customFormat="1" ht="12.2" customHeight="1" x14ac:dyDescent="0.15">
      <c r="A204" s="1" t="s">
        <v>443</v>
      </c>
      <c r="B204" s="2" t="s">
        <v>341</v>
      </c>
      <c r="C204" s="2" t="s">
        <v>295</v>
      </c>
      <c r="D204" s="2" t="s">
        <v>431</v>
      </c>
      <c r="E204" s="6">
        <v>2200</v>
      </c>
      <c r="F204" s="18">
        <v>12791.63</v>
      </c>
      <c r="G204" s="18">
        <v>12179.45</v>
      </c>
      <c r="H204" s="18"/>
      <c r="I204" s="18">
        <v>4886.62</v>
      </c>
      <c r="J204" s="18"/>
      <c r="K204" s="18"/>
      <c r="L204" s="13">
        <f t="shared" si="0"/>
        <v>29857.7</v>
      </c>
      <c r="M204" s="8"/>
      <c r="N204" s="164"/>
    </row>
    <row r="205" spans="1:14" s="3" customFormat="1" ht="12.2" customHeight="1" x14ac:dyDescent="0.15">
      <c r="A205" s="1" t="s">
        <v>444</v>
      </c>
      <c r="B205" s="2" t="s">
        <v>341</v>
      </c>
      <c r="C205" s="2" t="s">
        <v>296</v>
      </c>
      <c r="D205" s="2" t="s">
        <v>431</v>
      </c>
      <c r="E205" s="6">
        <v>2300</v>
      </c>
      <c r="F205" s="18">
        <v>1440</v>
      </c>
      <c r="G205" s="18">
        <v>91.8</v>
      </c>
      <c r="H205" s="18">
        <v>128768.94</v>
      </c>
      <c r="I205" s="18"/>
      <c r="J205" s="18"/>
      <c r="K205" s="18">
        <v>2646.44</v>
      </c>
      <c r="L205" s="13">
        <f t="shared" si="0"/>
        <v>132947.18</v>
      </c>
      <c r="M205" s="8"/>
      <c r="N205" s="164"/>
    </row>
    <row r="206" spans="1:14" s="3" customFormat="1" ht="12.2" customHeight="1" x14ac:dyDescent="0.15">
      <c r="A206" s="1" t="s">
        <v>445</v>
      </c>
      <c r="B206" s="2" t="s">
        <v>341</v>
      </c>
      <c r="C206" s="2" t="s">
        <v>297</v>
      </c>
      <c r="D206" s="2" t="s">
        <v>431</v>
      </c>
      <c r="E206" s="6">
        <v>2400</v>
      </c>
      <c r="F206" s="18">
        <v>130744</v>
      </c>
      <c r="G206" s="18">
        <v>70762.399999999994</v>
      </c>
      <c r="H206" s="18">
        <v>166.61</v>
      </c>
      <c r="I206" s="18">
        <v>6860.86</v>
      </c>
      <c r="J206" s="18"/>
      <c r="K206" s="18">
        <v>2239.58</v>
      </c>
      <c r="L206" s="13">
        <f t="shared" si="0"/>
        <v>210773.44999999995</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61542.33</v>
      </c>
      <c r="G208" s="18">
        <v>19176.09</v>
      </c>
      <c r="H208" s="18">
        <v>71129.38</v>
      </c>
      <c r="I208" s="18">
        <v>39371.06</v>
      </c>
      <c r="J208" s="18">
        <v>13473.35</v>
      </c>
      <c r="K208" s="18"/>
      <c r="L208" s="13">
        <f t="shared" si="0"/>
        <v>204692.21</v>
      </c>
      <c r="M208" s="8"/>
      <c r="N208" s="164"/>
    </row>
    <row r="209" spans="1:14" s="3" customFormat="1" ht="12.2" customHeight="1" x14ac:dyDescent="0.15">
      <c r="A209" s="1" t="s">
        <v>448</v>
      </c>
      <c r="B209" s="2" t="s">
        <v>341</v>
      </c>
      <c r="C209" s="2" t="s">
        <v>300</v>
      </c>
      <c r="D209" s="2" t="s">
        <v>431</v>
      </c>
      <c r="E209" s="6">
        <v>2700</v>
      </c>
      <c r="F209" s="18"/>
      <c r="G209" s="18"/>
      <c r="H209" s="18">
        <v>2812.15</v>
      </c>
      <c r="I209" s="18"/>
      <c r="J209" s="18"/>
      <c r="K209" s="18"/>
      <c r="L209" s="13">
        <f t="shared" si="0"/>
        <v>2812.15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750069.80999999994</v>
      </c>
      <c r="G212" s="38">
        <f t="shared" si="1"/>
        <v>392497.85000000003</v>
      </c>
      <c r="H212" s="38">
        <f t="shared" si="1"/>
        <v>264469.34000000003</v>
      </c>
      <c r="I212" s="38">
        <f t="shared" si="1"/>
        <v>81049.38</v>
      </c>
      <c r="J212" s="38">
        <f t="shared" si="1"/>
        <v>20852.150000000001</v>
      </c>
      <c r="K212" s="38">
        <f t="shared" si="1"/>
        <v>5096.0200000000004</v>
      </c>
      <c r="L212" s="38">
        <f t="shared" si="1"/>
        <v>1514034.5499999998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111521.27+35678</f>
        <v>147199.27000000002</v>
      </c>
      <c r="I234" s="18"/>
      <c r="J234" s="18"/>
      <c r="K234" s="18"/>
      <c r="L234" s="13">
        <f>SUM(F234:K234)</f>
        <v>147199.27000000002</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147199.27000000002</v>
      </c>
      <c r="I248" s="38">
        <f t="shared" si="5"/>
        <v>0</v>
      </c>
      <c r="J248" s="38">
        <f t="shared" si="5"/>
        <v>0</v>
      </c>
      <c r="K248" s="38">
        <f t="shared" si="5"/>
        <v>0</v>
      </c>
      <c r="L248" s="38">
        <f t="shared" si="5"/>
        <v>147199.27000000002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28325.94</v>
      </c>
      <c r="I256" s="18"/>
      <c r="J256" s="18"/>
      <c r="K256" s="18"/>
      <c r="L256" s="13">
        <f t="shared" si="6"/>
        <v>28325.94</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28325.94</v>
      </c>
      <c r="I257" s="38">
        <f t="shared" si="7"/>
        <v>0</v>
      </c>
      <c r="J257" s="38">
        <f t="shared" si="7"/>
        <v>0</v>
      </c>
      <c r="K257" s="38">
        <f t="shared" si="7"/>
        <v>0</v>
      </c>
      <c r="L257" s="38">
        <f>SUM(F257:K257)</f>
        <v>28325.94</v>
      </c>
      <c r="M257" s="8"/>
      <c r="N257" s="164"/>
    </row>
    <row r="258" spans="1:14" s="3" customFormat="1" ht="12.2" customHeight="1" thickTop="1" x14ac:dyDescent="0.15">
      <c r="A258" s="35" t="s">
        <v>462</v>
      </c>
      <c r="B258" s="37">
        <v>10</v>
      </c>
      <c r="C258" s="37">
        <v>8</v>
      </c>
      <c r="D258" s="36" t="s">
        <v>431</v>
      </c>
      <c r="E258" s="37"/>
      <c r="F258" s="38">
        <f t="shared" ref="F258:L258" si="8">F212+F230+F248+F257</f>
        <v>750069.80999999994</v>
      </c>
      <c r="G258" s="38">
        <f t="shared" si="8"/>
        <v>392497.85000000003</v>
      </c>
      <c r="H258" s="38">
        <f t="shared" si="8"/>
        <v>439994.55000000005</v>
      </c>
      <c r="I258" s="38">
        <f t="shared" si="8"/>
        <v>81049.38</v>
      </c>
      <c r="J258" s="38">
        <f t="shared" si="8"/>
        <v>20852.150000000001</v>
      </c>
      <c r="K258" s="38">
        <f t="shared" si="8"/>
        <v>5096.0200000000004</v>
      </c>
      <c r="L258" s="38">
        <f t="shared" si="8"/>
        <v>1689559.7599999998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14140</v>
      </c>
      <c r="L261" s="13">
        <f>SUM(F261:K261)</f>
        <v>14140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24775.97</v>
      </c>
      <c r="L262" s="13">
        <f>SUM(F262:K262)</f>
        <v>24775.97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38915.97</v>
      </c>
      <c r="L271" s="38">
        <f t="shared" si="9"/>
        <v>38915.97</v>
      </c>
      <c r="M271" s="8"/>
      <c r="N271" s="164"/>
    </row>
    <row r="272" spans="1:14" s="33" customFormat="1" ht="12.2" customHeight="1" thickTop="1" x14ac:dyDescent="0.2">
      <c r="A272" s="40" t="s">
        <v>464</v>
      </c>
      <c r="B272" s="37">
        <v>10</v>
      </c>
      <c r="C272" s="37">
        <v>18</v>
      </c>
      <c r="D272" s="36" t="s">
        <v>431</v>
      </c>
      <c r="E272" s="37"/>
      <c r="F272" s="39">
        <f t="shared" ref="F272:L272" si="11">F258+F271</f>
        <v>750069.80999999994</v>
      </c>
      <c r="G272" s="39">
        <f t="shared" si="11"/>
        <v>392497.85000000003</v>
      </c>
      <c r="H272" s="39">
        <f t="shared" si="11"/>
        <v>439994.55000000005</v>
      </c>
      <c r="I272" s="39">
        <f t="shared" si="11"/>
        <v>81049.38</v>
      </c>
      <c r="J272" s="39">
        <f t="shared" si="11"/>
        <v>20852.150000000001</v>
      </c>
      <c r="K272" s="39">
        <f t="shared" si="11"/>
        <v>44011.990000000005</v>
      </c>
      <c r="L272" s="39">
        <f t="shared" si="11"/>
        <v>1728475.7299999997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v>525</v>
      </c>
      <c r="I277" s="18">
        <v>3790.56</v>
      </c>
      <c r="J277" s="18"/>
      <c r="K277" s="18"/>
      <c r="L277" s="13">
        <f>SUM(F277:K277)</f>
        <v>4315.5599999999995</v>
      </c>
      <c r="M277" s="8"/>
      <c r="N277" s="164"/>
    </row>
    <row r="278" spans="1:14" s="3" customFormat="1" ht="12.2" customHeight="1" x14ac:dyDescent="0.15">
      <c r="A278" s="1" t="s">
        <v>439</v>
      </c>
      <c r="B278" s="2" t="s">
        <v>357</v>
      </c>
      <c r="C278" s="2" t="s">
        <v>291</v>
      </c>
      <c r="D278" s="2" t="s">
        <v>431</v>
      </c>
      <c r="E278" s="6">
        <v>1200</v>
      </c>
      <c r="F278" s="18"/>
      <c r="G278" s="18"/>
      <c r="H278" s="18">
        <v>13819.64</v>
      </c>
      <c r="I278" s="18"/>
      <c r="J278" s="18"/>
      <c r="K278" s="18"/>
      <c r="L278" s="13">
        <f>SUM(F278:K278)</f>
        <v>13819.64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4070.05</v>
      </c>
      <c r="G280" s="18">
        <v>311.62</v>
      </c>
      <c r="H280" s="18">
        <v>8263.74</v>
      </c>
      <c r="I280" s="18">
        <v>5136.8100000000004</v>
      </c>
      <c r="J280" s="18"/>
      <c r="K280" s="18">
        <v>864.3</v>
      </c>
      <c r="L280" s="13">
        <f>SUM(F280:K280)</f>
        <v>18646.52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v>6023.26</v>
      </c>
      <c r="I283" s="18">
        <v>364.35</v>
      </c>
      <c r="J283" s="18"/>
      <c r="K283" s="18"/>
      <c r="L283" s="13">
        <f t="shared" si="12"/>
        <v>6387.6100000000006</v>
      </c>
      <c r="M283" s="8"/>
      <c r="N283" s="164"/>
    </row>
    <row r="284" spans="1:14" s="3" customFormat="1" ht="12.2" customHeight="1" x14ac:dyDescent="0.15">
      <c r="A284" s="1" t="s">
        <v>444</v>
      </c>
      <c r="B284" s="2" t="s">
        <v>357</v>
      </c>
      <c r="C284" s="2" t="s">
        <v>296</v>
      </c>
      <c r="D284" s="2" t="s">
        <v>431</v>
      </c>
      <c r="E284" s="6">
        <v>2300</v>
      </c>
      <c r="F284" s="18"/>
      <c r="G284" s="18"/>
      <c r="H284" s="18">
        <v>1446.04</v>
      </c>
      <c r="I284" s="18"/>
      <c r="J284" s="18"/>
      <c r="K284" s="18"/>
      <c r="L284" s="13">
        <f t="shared" si="12"/>
        <v>1446.04</v>
      </c>
      <c r="M284" s="8"/>
      <c r="N284" s="164"/>
    </row>
    <row r="285" spans="1:14" s="3" customFormat="1" ht="12.2" customHeight="1" x14ac:dyDescent="0.15">
      <c r="A285" s="1" t="s">
        <v>445</v>
      </c>
      <c r="B285" s="2" t="s">
        <v>357</v>
      </c>
      <c r="C285" s="2" t="s">
        <v>297</v>
      </c>
      <c r="D285" s="2" t="s">
        <v>431</v>
      </c>
      <c r="E285" s="6">
        <v>2400</v>
      </c>
      <c r="F285" s="18"/>
      <c r="G285" s="18"/>
      <c r="H285" s="18"/>
      <c r="I285" s="18">
        <v>1261.4100000000001</v>
      </c>
      <c r="J285" s="18"/>
      <c r="K285" s="18"/>
      <c r="L285" s="13">
        <f t="shared" si="12"/>
        <v>1261.4100000000001</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1617.59</v>
      </c>
      <c r="L286" s="13">
        <f t="shared" si="12"/>
        <v>1617.59</v>
      </c>
      <c r="M286" s="8"/>
      <c r="N286" s="164"/>
    </row>
    <row r="287" spans="1:14" s="3" customFormat="1" ht="12.2" customHeight="1" x14ac:dyDescent="0.15">
      <c r="A287" s="1" t="s">
        <v>447</v>
      </c>
      <c r="B287" s="2" t="s">
        <v>357</v>
      </c>
      <c r="C287" s="2" t="s">
        <v>299</v>
      </c>
      <c r="D287" s="2" t="s">
        <v>431</v>
      </c>
      <c r="E287" s="6">
        <v>2600</v>
      </c>
      <c r="F287" s="18"/>
      <c r="G287" s="18"/>
      <c r="H287" s="18"/>
      <c r="I287" s="18"/>
      <c r="J287" s="18">
        <v>42030.11</v>
      </c>
      <c r="K287" s="18"/>
      <c r="L287" s="13">
        <f t="shared" si="12"/>
        <v>42030.11</v>
      </c>
      <c r="M287" s="8"/>
      <c r="N287" s="164"/>
    </row>
    <row r="288" spans="1:14" s="3" customFormat="1" ht="12.2" customHeight="1" x14ac:dyDescent="0.15">
      <c r="A288" s="1" t="s">
        <v>448</v>
      </c>
      <c r="B288" s="2" t="s">
        <v>357</v>
      </c>
      <c r="C288" s="2" t="s">
        <v>300</v>
      </c>
      <c r="D288" s="2" t="s">
        <v>431</v>
      </c>
      <c r="E288" s="6">
        <v>2700</v>
      </c>
      <c r="F288" s="18"/>
      <c r="G288" s="18"/>
      <c r="H288" s="18">
        <v>2625</v>
      </c>
      <c r="I288" s="18"/>
      <c r="J288" s="18"/>
      <c r="K288" s="18"/>
      <c r="L288" s="13">
        <f t="shared" si="12"/>
        <v>2625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4070.05</v>
      </c>
      <c r="G291" s="39">
        <f t="shared" si="13"/>
        <v>311.62</v>
      </c>
      <c r="H291" s="39">
        <f t="shared" si="13"/>
        <v>32702.68</v>
      </c>
      <c r="I291" s="39">
        <f t="shared" si="13"/>
        <v>10553.130000000001</v>
      </c>
      <c r="J291" s="39">
        <f t="shared" si="13"/>
        <v>42030.11</v>
      </c>
      <c r="K291" s="39">
        <f t="shared" si="13"/>
        <v>2481.89</v>
      </c>
      <c r="L291" s="38">
        <f t="shared" si="13"/>
        <v>92149.48000000001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4070.05</v>
      </c>
      <c r="G339" s="38">
        <f t="shared" si="20"/>
        <v>311.62</v>
      </c>
      <c r="H339" s="38">
        <f t="shared" si="20"/>
        <v>32702.68</v>
      </c>
      <c r="I339" s="38">
        <f t="shared" si="20"/>
        <v>10553.130000000001</v>
      </c>
      <c r="J339" s="38">
        <f t="shared" si="20"/>
        <v>42030.11</v>
      </c>
      <c r="K339" s="38">
        <f t="shared" si="20"/>
        <v>2481.89</v>
      </c>
      <c r="L339" s="38">
        <f t="shared" si="20"/>
        <v>92149.48000000001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4070.05</v>
      </c>
      <c r="G353" s="38">
        <f>G339</f>
        <v>311.62</v>
      </c>
      <c r="H353" s="38">
        <f>H339</f>
        <v>32702.68</v>
      </c>
      <c r="I353" s="38">
        <f>I339</f>
        <v>10553.130000000001</v>
      </c>
      <c r="J353" s="38">
        <f>J339</f>
        <v>42030.11</v>
      </c>
      <c r="K353" s="38">
        <f>K339+K352</f>
        <v>2481.89</v>
      </c>
      <c r="L353" s="38">
        <f>L339+L352</f>
        <v>92149.48000000001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341.78</v>
      </c>
      <c r="I359" s="18"/>
      <c r="J359" s="18"/>
      <c r="K359" s="18"/>
      <c r="L359" s="13">
        <f>SUM(F359:K359)</f>
        <v>341.78</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341.78</v>
      </c>
      <c r="I363" s="38">
        <f t="shared" si="22"/>
        <v>0</v>
      </c>
      <c r="J363" s="38">
        <f t="shared" si="22"/>
        <v>0</v>
      </c>
      <c r="K363" s="38">
        <f t="shared" si="22"/>
        <v>0</v>
      </c>
      <c r="L363" s="38">
        <f t="shared" si="22"/>
        <v>341.78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344236.77</v>
      </c>
      <c r="G466" s="18">
        <v>1077.6199999999999</v>
      </c>
      <c r="H466" s="18">
        <v>-0.01</v>
      </c>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1738026.88</v>
      </c>
      <c r="G469" s="18">
        <v>0</v>
      </c>
      <c r="H469" s="18">
        <v>92149.5</v>
      </c>
      <c r="I469" s="18"/>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1738026.88</v>
      </c>
      <c r="G471" s="19">
        <f>SUM(G469:G470)</f>
        <v>0</v>
      </c>
      <c r="H471" s="19">
        <f>SUM(H469:H470)</f>
        <v>92149.5</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1728475.73</v>
      </c>
      <c r="G473" s="18">
        <v>341.78</v>
      </c>
      <c r="H473" s="18">
        <v>92149.48</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1728475.73</v>
      </c>
      <c r="G475" s="19">
        <f>SUM(G473:G474)</f>
        <v>341.78</v>
      </c>
      <c r="H475" s="19">
        <f>SUM(H473:H474)</f>
        <v>92149.48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353787.91999999993</v>
      </c>
      <c r="G477" s="19">
        <f>(G466+G471)- G475</f>
        <v>735.83999999999992</v>
      </c>
      <c r="H477" s="19">
        <f>(H466+H471)- H475</f>
        <v>1.0000000009313226E-2</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19</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585000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3.49</v>
      </c>
      <c r="G495" s="18"/>
      <c r="H495" s="18"/>
      <c r="I495" s="18"/>
      <c r="J495" s="18"/>
      <c r="K495" s="23" t="s">
        <v>288</v>
      </c>
      <c r="L495" s="23" t="s">
        <v>288</v>
      </c>
      <c r="N495" s="130"/>
    </row>
    <row r="496" spans="1:14" ht="12.2" customHeight="1" x14ac:dyDescent="0.2">
      <c r="A496" s="21" t="s">
        <v>619</v>
      </c>
      <c r="B496" s="22">
        <v>20</v>
      </c>
      <c r="C496" s="22">
        <v>6</v>
      </c>
      <c r="D496" s="2" t="s">
        <v>432</v>
      </c>
      <c r="E496" s="22"/>
      <c r="F496" s="18">
        <v>514400</v>
      </c>
      <c r="G496" s="18"/>
      <c r="H496" s="18"/>
      <c r="I496" s="18"/>
      <c r="J496" s="18"/>
      <c r="K496" s="19">
        <f>SUM(F496:J496)</f>
        <v>514400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514400</v>
      </c>
      <c r="G499" s="146"/>
      <c r="H499" s="146"/>
      <c r="I499" s="146"/>
      <c r="J499" s="146"/>
      <c r="K499" s="147">
        <f t="shared" si="35"/>
        <v>514400</v>
      </c>
      <c r="L499" s="148" t="s">
        <v>288</v>
      </c>
      <c r="N499" s="130"/>
    </row>
    <row r="500" spans="1:14" ht="12.2" customHeight="1" thickBot="1" x14ac:dyDescent="0.25">
      <c r="A500" s="21" t="s">
        <v>623</v>
      </c>
      <c r="B500" s="22">
        <v>20</v>
      </c>
      <c r="C500" s="22">
        <v>10</v>
      </c>
      <c r="D500" s="2" t="s">
        <v>432</v>
      </c>
      <c r="E500" s="22"/>
      <c r="F500" s="18">
        <v>255688.3</v>
      </c>
      <c r="G500" s="18"/>
      <c r="H500" s="18"/>
      <c r="I500" s="18"/>
      <c r="J500" s="18"/>
      <c r="K500" s="19">
        <f t="shared" si="35"/>
        <v>255688.3</v>
      </c>
      <c r="L500" s="23" t="s">
        <v>288</v>
      </c>
      <c r="N500" s="130"/>
    </row>
    <row r="501" spans="1:14" ht="12.2" customHeight="1" thickTop="1" x14ac:dyDescent="0.2">
      <c r="A501" s="97" t="s">
        <v>624</v>
      </c>
      <c r="B501" s="41">
        <v>20</v>
      </c>
      <c r="C501" s="41">
        <v>11</v>
      </c>
      <c r="D501" s="36" t="s">
        <v>432</v>
      </c>
      <c r="E501" s="41"/>
      <c r="F501" s="39">
        <f>SUM(F499:F500)</f>
        <v>770088.3</v>
      </c>
      <c r="G501" s="39">
        <f>SUM(G499:G500)</f>
        <v>0</v>
      </c>
      <c r="H501" s="39">
        <f>SUM(H499:H500)</f>
        <v>0</v>
      </c>
      <c r="I501" s="39">
        <f>SUM(I499:I500)</f>
        <v>0</v>
      </c>
      <c r="J501" s="39">
        <f>SUM(J499:J500)</f>
        <v>0</v>
      </c>
      <c r="K501" s="39">
        <f t="shared" si="35"/>
        <v>770088.3</v>
      </c>
      <c r="L501" s="42" t="s">
        <v>288</v>
      </c>
      <c r="N501" s="130"/>
    </row>
    <row r="502" spans="1:14" ht="12.2" customHeight="1" x14ac:dyDescent="0.2">
      <c r="A502" s="143" t="s">
        <v>651</v>
      </c>
      <c r="B502" s="144">
        <v>20</v>
      </c>
      <c r="C502" s="144">
        <v>12</v>
      </c>
      <c r="D502" s="145" t="s">
        <v>432</v>
      </c>
      <c r="E502" s="144"/>
      <c r="F502" s="146">
        <v>17000</v>
      </c>
      <c r="G502" s="146"/>
      <c r="H502" s="146"/>
      <c r="I502" s="146"/>
      <c r="J502" s="146"/>
      <c r="K502" s="147">
        <f t="shared" si="35"/>
        <v>17000</v>
      </c>
      <c r="L502" s="148" t="s">
        <v>288</v>
      </c>
      <c r="N502" s="130"/>
    </row>
    <row r="503" spans="1:14" ht="12.2" customHeight="1" thickBot="1" x14ac:dyDescent="0.25">
      <c r="A503" s="21" t="s">
        <v>625</v>
      </c>
      <c r="B503" s="22">
        <v>20</v>
      </c>
      <c r="C503" s="22">
        <v>13</v>
      </c>
      <c r="D503" s="2" t="s">
        <v>432</v>
      </c>
      <c r="E503" s="22"/>
      <c r="F503" s="18">
        <v>23981.9</v>
      </c>
      <c r="G503" s="18"/>
      <c r="H503" s="18"/>
      <c r="I503" s="18"/>
      <c r="J503" s="18"/>
      <c r="K503" s="19">
        <f t="shared" si="35"/>
        <v>23981.9</v>
      </c>
      <c r="L503" s="23" t="s">
        <v>288</v>
      </c>
      <c r="N503" s="130"/>
    </row>
    <row r="504" spans="1:14" ht="12.2" customHeight="1" thickTop="1" x14ac:dyDescent="0.2">
      <c r="A504" s="97" t="s">
        <v>626</v>
      </c>
      <c r="B504" s="41">
        <v>20</v>
      </c>
      <c r="C504" s="41">
        <v>14</v>
      </c>
      <c r="D504" s="36" t="s">
        <v>432</v>
      </c>
      <c r="E504" s="41"/>
      <c r="F504" s="39">
        <f>SUM(F502:F503)</f>
        <v>40981.9</v>
      </c>
      <c r="G504" s="39">
        <f>SUM(G502:G503)</f>
        <v>0</v>
      </c>
      <c r="H504" s="39">
        <f>SUM(H502:H503)</f>
        <v>0</v>
      </c>
      <c r="I504" s="39">
        <f>SUM(I502:I503)</f>
        <v>0</v>
      </c>
      <c r="J504" s="39">
        <f>SUM(J502:J503)</f>
        <v>0</v>
      </c>
      <c r="K504" s="39">
        <f t="shared" si="35"/>
        <v>40981.9</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118823.34</v>
      </c>
      <c r="G522" s="18">
        <v>62592.13</v>
      </c>
      <c r="H522" s="18">
        <v>50298.94</v>
      </c>
      <c r="I522" s="18">
        <v>671.15</v>
      </c>
      <c r="J522" s="18"/>
      <c r="K522" s="18">
        <v>135</v>
      </c>
      <c r="L522" s="69">
        <f>SUM(F522:K522)</f>
        <v>232520.56</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118823.34</v>
      </c>
      <c r="G525" s="81">
        <f t="shared" ref="G525:L525" si="36">SUM(G522:G524)</f>
        <v>62592.13</v>
      </c>
      <c r="H525" s="81">
        <f t="shared" si="36"/>
        <v>50298.94</v>
      </c>
      <c r="I525" s="81">
        <f t="shared" si="36"/>
        <v>671.15</v>
      </c>
      <c r="J525" s="81">
        <f t="shared" si="36"/>
        <v>0</v>
      </c>
      <c r="K525" s="81">
        <f t="shared" si="36"/>
        <v>135</v>
      </c>
      <c r="L525" s="70">
        <f t="shared" si="36"/>
        <v>232520.56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5365.68</v>
      </c>
      <c r="G527" s="18">
        <v>1835.08</v>
      </c>
      <c r="H527" s="18">
        <v>8831.86</v>
      </c>
      <c r="I527" s="18">
        <v>85.45</v>
      </c>
      <c r="J527" s="18"/>
      <c r="K527" s="18"/>
      <c r="L527" s="69">
        <f>SUM(F527:K527)</f>
        <v>16118.070000000002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5365.68</v>
      </c>
      <c r="G530" s="70">
        <f t="shared" ref="G530:L530" si="37">SUM(G527:G529)</f>
        <v>1835.08</v>
      </c>
      <c r="H530" s="70">
        <f t="shared" si="37"/>
        <v>8831.86</v>
      </c>
      <c r="I530" s="70">
        <f t="shared" si="37"/>
        <v>85.45</v>
      </c>
      <c r="J530" s="70">
        <f t="shared" si="37"/>
        <v>0</v>
      </c>
      <c r="K530" s="70">
        <f t="shared" si="37"/>
        <v>0</v>
      </c>
      <c r="L530" s="70">
        <f t="shared" si="37"/>
        <v>16118.070000000002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9114.06</v>
      </c>
      <c r="G532" s="18">
        <v>5517</v>
      </c>
      <c r="H532" s="18"/>
      <c r="I532" s="18"/>
      <c r="J532" s="18"/>
      <c r="K532" s="18"/>
      <c r="L532" s="69">
        <f>SUM(F532:K532)</f>
        <v>14631.06</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9114.06</v>
      </c>
      <c r="G535" s="70">
        <f t="shared" ref="G535:L535" si="38">SUM(G532:G534)</f>
        <v>5517</v>
      </c>
      <c r="H535" s="70">
        <f t="shared" si="38"/>
        <v>0</v>
      </c>
      <c r="I535" s="70">
        <f t="shared" si="38"/>
        <v>0</v>
      </c>
      <c r="J535" s="70">
        <f t="shared" si="38"/>
        <v>0</v>
      </c>
      <c r="K535" s="70">
        <f t="shared" si="38"/>
        <v>0</v>
      </c>
      <c r="L535" s="70">
        <f t="shared" si="38"/>
        <v>14631.06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133303.07999999999</v>
      </c>
      <c r="G546" s="70">
        <f t="shared" ref="G546:L546" si="41">G525+G530+G535+G540+G545</f>
        <v>69944.209999999992</v>
      </c>
      <c r="H546" s="70">
        <f t="shared" si="41"/>
        <v>59130.8</v>
      </c>
      <c r="I546" s="70">
        <f t="shared" si="41"/>
        <v>756.6</v>
      </c>
      <c r="J546" s="70">
        <f t="shared" si="41"/>
        <v>0</v>
      </c>
      <c r="K546" s="70">
        <f t="shared" si="41"/>
        <v>135</v>
      </c>
      <c r="L546" s="70">
        <f t="shared" si="41"/>
        <v>263269.69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232520.56</v>
      </c>
      <c r="G550" s="69">
        <f>L527</f>
        <v>16118.070000000002</v>
      </c>
      <c r="H550" s="69">
        <f>L532</f>
        <v>14631.06</v>
      </c>
      <c r="I550" s="69">
        <f>L537</f>
        <v>0</v>
      </c>
      <c r="J550" s="69">
        <f>L542</f>
        <v>0</v>
      </c>
      <c r="K550" s="69">
        <f>SUM(F550:J550)</f>
        <v>263269.69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232520.56</v>
      </c>
      <c r="G553" s="70">
        <f t="shared" si="42"/>
        <v>16118.070000000002</v>
      </c>
      <c r="H553" s="70">
        <f t="shared" si="42"/>
        <v>14631.06</v>
      </c>
      <c r="I553" s="70">
        <f t="shared" si="42"/>
        <v>0</v>
      </c>
      <c r="J553" s="70">
        <f t="shared" si="42"/>
        <v>0</v>
      </c>
      <c r="K553" s="70">
        <f t="shared" si="42"/>
        <v>263269.69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f>111521.27+35678</f>
        <v>147199.27000000002</v>
      </c>
      <c r="I576" s="69">
        <f>SUM(F576:H576)</f>
        <v>147199.27000000002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10574</v>
      </c>
      <c r="G580" s="18"/>
      <c r="H580" s="18"/>
      <c r="I580" s="69">
        <f t="shared" si="47"/>
        <v>10574</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10574</v>
      </c>
      <c r="G589" s="79">
        <f t="shared" ref="G589:I589" si="48">SUM(G576:G588)</f>
        <v>0</v>
      </c>
      <c r="H589" s="79">
        <f t="shared" si="48"/>
        <v>147199.27000000002</v>
      </c>
      <c r="I589" s="79">
        <f t="shared" si="48"/>
        <v>157773.27000000002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9">SUM(H592:J592)</f>
        <v>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2812.15</v>
      </c>
      <c r="I596" s="18"/>
      <c r="J596" s="18"/>
      <c r="K596" s="80">
        <f t="shared" si="49"/>
        <v>2812.15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2812.15</v>
      </c>
      <c r="I599" s="81">
        <f>SUM(I592:I598)</f>
        <v>0</v>
      </c>
      <c r="J599" s="81">
        <f>SUM(J592:J598)</f>
        <v>0</v>
      </c>
      <c r="K599" s="81">
        <f>SUM(K592:K598)</f>
        <v>2812.15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62882.26</v>
      </c>
      <c r="I605" s="18"/>
      <c r="J605" s="18"/>
      <c r="K605" s="80">
        <f>SUM(H605:J605)</f>
        <v>62882.26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62882.26</v>
      </c>
      <c r="I606" s="81">
        <f>SUM(I603:I605)</f>
        <v>0</v>
      </c>
      <c r="J606" s="81">
        <f>SUM(J603:J605)</f>
        <v>0</v>
      </c>
      <c r="K606" s="81">
        <f>SUM(K603:K605)</f>
        <v>62882.26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358730.29</v>
      </c>
      <c r="H618" s="80">
        <f>SUM(F52)</f>
        <v>358730.29000000004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735.84</v>
      </c>
      <c r="H619" s="80">
        <f>SUM(G52)</f>
        <v>735.84</v>
      </c>
      <c r="I619" s="87" t="s">
        <v>872</v>
      </c>
      <c r="J619" s="80">
        <f>G619-H619</f>
        <v>0</v>
      </c>
      <c r="K619" s="80"/>
      <c r="L619" s="80"/>
      <c r="M619" s="8"/>
    </row>
    <row r="620" spans="1:14" s="3" customFormat="1" ht="12.2" customHeight="1" x14ac:dyDescent="0.15">
      <c r="A620" s="74"/>
      <c r="B620" s="22"/>
      <c r="C620" s="22"/>
      <c r="D620" s="22"/>
      <c r="E620" s="22"/>
      <c r="F620" s="87" t="s">
        <v>685</v>
      </c>
      <c r="G620" s="80">
        <f>SUM(H19)</f>
        <v>1622.54</v>
      </c>
      <c r="H620" s="80">
        <f>SUM(H52)</f>
        <v>1622.54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353787.92000000004</v>
      </c>
      <c r="H623" s="80">
        <f>F477</f>
        <v>353787.91999999993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735.84</v>
      </c>
      <c r="H624" s="80">
        <f>G477</f>
        <v>735.83999999999992</v>
      </c>
      <c r="I624" s="87" t="s">
        <v>102</v>
      </c>
      <c r="J624" s="80">
        <f t="shared" si="51"/>
        <v>0</v>
      </c>
      <c r="K624" s="80"/>
      <c r="L624" s="80"/>
      <c r="M624" s="8"/>
    </row>
    <row r="625" spans="1:13" s="3" customFormat="1" ht="12.2" customHeight="1" x14ac:dyDescent="0.15">
      <c r="A625" s="74"/>
      <c r="B625" s="22"/>
      <c r="C625" s="22"/>
      <c r="D625" s="22"/>
      <c r="E625" s="22"/>
      <c r="F625" s="86" t="s">
        <v>863</v>
      </c>
      <c r="G625" s="80">
        <f>H51</f>
        <v>0.01</v>
      </c>
      <c r="H625" s="80">
        <f>H477</f>
        <v>1.0000000009313226E-2</v>
      </c>
      <c r="I625" s="87" t="s">
        <v>103</v>
      </c>
      <c r="J625" s="80">
        <f t="shared" si="51"/>
        <v>-9.313225537987968E-12</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1738026.88</v>
      </c>
      <c r="H628" s="80">
        <f>SUM(F469)</f>
        <v>1738026.88</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92149.5</v>
      </c>
      <c r="H630" s="80">
        <f>SUM(H469)</f>
        <v>92149.5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1728475.7299999997</v>
      </c>
      <c r="H633" s="80">
        <f>SUM(F473)</f>
        <v>1728475.73</v>
      </c>
      <c r="I633" s="87" t="s">
        <v>111</v>
      </c>
      <c r="J633" s="80">
        <f t="shared" si="51"/>
        <v>0</v>
      </c>
      <c r="K633" s="67"/>
      <c r="L633" s="69"/>
      <c r="M633" s="8"/>
    </row>
    <row r="634" spans="1:13" s="3" customFormat="1" ht="12.2" customHeight="1" x14ac:dyDescent="0.15">
      <c r="A634" s="21"/>
      <c r="B634" s="22"/>
      <c r="C634" s="22"/>
      <c r="D634" s="22"/>
      <c r="E634" s="22"/>
      <c r="F634" s="86" t="s">
        <v>395</v>
      </c>
      <c r="G634" s="80">
        <f>SUM(L353)</f>
        <v>92149.48000000001</v>
      </c>
      <c r="H634" s="80">
        <f>SUM(H473)</f>
        <v>92149.48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341.78</v>
      </c>
      <c r="H636" s="80">
        <f>SUM(G473)</f>
        <v>341.78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2812.15</v>
      </c>
      <c r="H648" s="80">
        <f>L209+L227+L245</f>
        <v>2812.15</v>
      </c>
      <c r="I648" s="87" t="s">
        <v>396</v>
      </c>
      <c r="J648" s="80">
        <f t="shared" si="51"/>
        <v>0</v>
      </c>
      <c r="K648" s="67"/>
      <c r="L648" s="69"/>
      <c r="M648" s="8"/>
    </row>
    <row r="649" spans="1:13" s="3" customFormat="1" ht="12.2" customHeight="1" x14ac:dyDescent="0.15">
      <c r="A649" s="21"/>
      <c r="B649" s="22"/>
      <c r="C649" s="22"/>
      <c r="D649" s="22"/>
      <c r="E649" s="22"/>
      <c r="F649" s="86" t="s">
        <v>52</v>
      </c>
      <c r="G649" s="80">
        <f>K606</f>
        <v>62882.26</v>
      </c>
      <c r="H649" s="80">
        <f>(J258+J339)-(J256+J337)</f>
        <v>62882.26</v>
      </c>
      <c r="I649" s="87" t="s">
        <v>699</v>
      </c>
      <c r="J649" s="80">
        <f t="shared" si="51"/>
        <v>0</v>
      </c>
      <c r="K649" s="67"/>
      <c r="L649" s="69"/>
      <c r="M649" s="8"/>
    </row>
    <row r="650" spans="1:13" s="3" customFormat="1" ht="12.2" customHeight="1" x14ac:dyDescent="0.15">
      <c r="A650" s="21"/>
      <c r="B650" s="22"/>
      <c r="C650" s="22"/>
      <c r="D650" s="22"/>
      <c r="E650" s="22"/>
      <c r="F650" s="86" t="s">
        <v>387</v>
      </c>
      <c r="G650" s="80">
        <f>L209</f>
        <v>2812.15</v>
      </c>
      <c r="H650" s="80">
        <f>H599</f>
        <v>2812.15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1606525.8099999998</v>
      </c>
      <c r="G661" s="13">
        <f>(L230+L310+L360)</f>
        <v>0</v>
      </c>
      <c r="H661" s="13">
        <f>(L248+L329+L361)</f>
        <v>147199.27000000002</v>
      </c>
      <c r="I661" s="13">
        <f>SUM(F661:H661)</f>
        <v>1753725.0799999998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5437.15</v>
      </c>
      <c r="G663" s="13">
        <f>(L227+L307)-(J227+J307)</f>
        <v>0</v>
      </c>
      <c r="H663" s="13">
        <f>(L245+L326)-(J245+J326)</f>
        <v>0</v>
      </c>
      <c r="I663" s="13">
        <f>SUM(F663:H663)</f>
        <v>5437.15</v>
      </c>
      <c r="J663"/>
      <c r="K663" s="13"/>
      <c r="L663" s="13"/>
      <c r="M663" s="9"/>
    </row>
    <row r="664" spans="1:13" s="3" customFormat="1" ht="12.2" customHeight="1" x14ac:dyDescent="0.15">
      <c r="A664" s="141" t="s">
        <v>129</v>
      </c>
      <c r="B664" s="124"/>
      <c r="C664" s="124"/>
      <c r="D664" s="124"/>
      <c r="E664" s="124"/>
      <c r="F664" s="142">
        <f>SUM(F576:F588)+SUM(H603:H605)+SUM(L612)</f>
        <v>73456.260000000009</v>
      </c>
      <c r="G664" s="142">
        <f>SUM(G576:G588)+SUM(I603:I605)+L613</f>
        <v>0</v>
      </c>
      <c r="H664" s="142">
        <f>SUM(H576:H588)+SUM(J603:J605)+L614</f>
        <v>147199.27000000002</v>
      </c>
      <c r="I664" s="13">
        <f>SUM(F664:H664)</f>
        <v>220655.53000000003</v>
      </c>
      <c r="J664" s="13"/>
      <c r="K664" s="13"/>
      <c r="L664" s="13"/>
      <c r="M664" s="9"/>
    </row>
    <row r="665" spans="1:13" s="3" customFormat="1" ht="12.2" customHeight="1" x14ac:dyDescent="0.15">
      <c r="A665" s="1" t="s">
        <v>130</v>
      </c>
      <c r="F665" s="13">
        <f>F661-SUM(F662:F664)</f>
        <v>1527632.4</v>
      </c>
      <c r="G665" s="13">
        <f>G661-SUM(G662:G664)</f>
        <v>0</v>
      </c>
      <c r="H665" s="13">
        <f>H661-SUM(H662:H664)</f>
        <v>0</v>
      </c>
      <c r="I665" s="13">
        <f>I661-SUM(I662:I664)</f>
        <v>1527632.4</v>
      </c>
      <c r="J665" s="13"/>
      <c r="K665" s="13"/>
      <c r="L665" s="13"/>
      <c r="M665" s="8"/>
    </row>
    <row r="666" spans="1:13" s="3" customFormat="1" ht="12.2" customHeight="1" x14ac:dyDescent="0.2">
      <c r="A666" s="1" t="s">
        <v>131</v>
      </c>
      <c r="F666" s="182">
        <v>41.72</v>
      </c>
      <c r="G666" s="183"/>
      <c r="H666" s="183"/>
      <c r="I666" s="13">
        <f>SUM(F666:H666)</f>
        <v>41.72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36616.31</v>
      </c>
      <c r="G668" s="13" t="e">
        <f>ROUND(G665/G666,2)</f>
        <v>#DIV/0!</v>
      </c>
      <c r="H668" s="13" t="e">
        <f>ROUND(H665/H666,2)</f>
        <v>#DIV/0!</v>
      </c>
      <c r="I668" s="13">
        <f>ROUND(I665/I666,2)</f>
        <v>36616.31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36616.31</v>
      </c>
      <c r="G673" s="13" t="e">
        <f>ROUND((G665+G670)/(G666+G671),2)</f>
        <v>#DIV/0!</v>
      </c>
      <c r="H673" s="13" t="e">
        <f>ROUND((H665+H670)/(H666+H671),2)</f>
        <v>#DIV/0!</v>
      </c>
      <c r="I673" s="13">
        <f>ROUND((I665+I670)/(I666+I671),2)</f>
        <v>36616.31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21280.53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364.35+101.44</f>
        <v>465.79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3331.9+8437.04+9045.8</f>
        <v>20814.739999999998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Waterville Valley</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341.78</v>
      </c>
      <c r="F17" s="237" t="s">
        <v>1568</v>
      </c>
    </row>
    <row r="18" spans="1:6" ht="15" x14ac:dyDescent="0.2">
      <c r="A18" s="237" t="s">
        <v>1555</v>
      </c>
      <c r="B18" s="250">
        <v>0</v>
      </c>
      <c r="F18" s="246" t="s">
        <v>1592</v>
      </c>
    </row>
    <row r="19" spans="1:6" ht="18" x14ac:dyDescent="0.25">
      <c r="A19" s="239" t="s">
        <v>725</v>
      </c>
      <c r="B19" s="241">
        <f>SUM(B17:B18)</f>
        <v>341.78</v>
      </c>
    </row>
    <row r="21" spans="1:6" ht="18.75" thickBot="1" x14ac:dyDescent="0.3">
      <c r="A21" s="239" t="s">
        <v>1556</v>
      </c>
    </row>
    <row r="22" spans="1:6" ht="18.75" thickTop="1" x14ac:dyDescent="0.25">
      <c r="A22" s="239" t="s">
        <v>1557</v>
      </c>
      <c r="B22" s="245">
        <f>B14-B19</f>
        <v>-341.78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1077.6199999999999</v>
      </c>
      <c r="F31" s="237" t="s">
        <v>1572</v>
      </c>
    </row>
    <row r="33" spans="1:6" ht="15" x14ac:dyDescent="0.2">
      <c r="A33" s="237" t="s">
        <v>1790</v>
      </c>
      <c r="B33" s="240">
        <f>'DOE25'!G477</f>
        <v>735.83999999999992</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Waterville Valley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395200.11</v>
      </c>
      <c r="C9" s="166">
        <f>'DOE25'!G198+'DOE25'!G216+'DOE25'!G234+'DOE25'!G277+'DOE25'!G296+'DOE25'!G315</f>
        <v>217243.36</v>
      </c>
    </row>
    <row r="10" spans="1:3" x14ac:dyDescent="0.2">
      <c r="A10" t="s">
        <v>772</v>
      </c>
      <c r="B10" s="176">
        <v>353885.11</v>
      </c>
      <c r="C10" s="176">
        <v>214032.97</v>
      </c>
    </row>
    <row r="11" spans="1:3" x14ac:dyDescent="0.2">
      <c r="A11" t="s">
        <v>773</v>
      </c>
      <c r="B11" s="176"/>
      <c r="C11" s="176"/>
    </row>
    <row r="12" spans="1:3" x14ac:dyDescent="0.2">
      <c r="A12" t="s">
        <v>774</v>
      </c>
      <c r="B12" s="176">
        <v>41315</v>
      </c>
      <c r="C12" s="176">
        <v>3210.39</v>
      </c>
    </row>
    <row r="13" spans="1:3" x14ac:dyDescent="0.2">
      <c r="A13" t="str">
        <f>IF(B9=B13,IF(C9=C13,"Check Total OK","Check Total Error"),"Check Total Error")</f>
        <v>Check Total OK</v>
      </c>
      <c r="B13" s="168">
        <f>SUM(B10:B12)</f>
        <v>395200.11</v>
      </c>
      <c r="C13" s="168">
        <f>SUM(C10:C12)</f>
        <v>217243.36000000002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118823.34</v>
      </c>
      <c r="C18" s="166">
        <f>'DOE25'!G199+'DOE25'!G217+'DOE25'!G235+'DOE25'!G278+'DOE25'!G297+'DOE25'!G316</f>
        <v>62592.13</v>
      </c>
    </row>
    <row r="19" spans="1:3" x14ac:dyDescent="0.2">
      <c r="A19" t="s">
        <v>772</v>
      </c>
      <c r="B19" s="176">
        <v>81601.75</v>
      </c>
      <c r="C19" s="176">
        <v>55177.99</v>
      </c>
    </row>
    <row r="20" spans="1:3" x14ac:dyDescent="0.2">
      <c r="A20" t="s">
        <v>773</v>
      </c>
      <c r="B20" s="176">
        <v>36130.589999999997</v>
      </c>
      <c r="C20" s="176">
        <v>7160.07</v>
      </c>
    </row>
    <row r="21" spans="1:3" x14ac:dyDescent="0.2">
      <c r="A21" t="s">
        <v>774</v>
      </c>
      <c r="B21" s="176">
        <v>1091</v>
      </c>
      <c r="C21" s="176">
        <v>254.07</v>
      </c>
    </row>
    <row r="22" spans="1:3" x14ac:dyDescent="0.2">
      <c r="A22" t="str">
        <f>IF(B18=B22,IF(C18=C22,"Check Total OK","Check Total Error"),"Check Total Error")</f>
        <v>Check Total OK</v>
      </c>
      <c r="B22" s="168">
        <f>SUM(B19:B21)</f>
        <v>118823.34</v>
      </c>
      <c r="C22" s="168">
        <f>SUM(C19:C21)</f>
        <v>62592.13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6770.05</v>
      </c>
      <c r="C36" s="172">
        <f>'DOE25'!G201+'DOE25'!G219+'DOE25'!G237+'DOE25'!G280+'DOE25'!G299+'DOE25'!G318</f>
        <v>1588.8600000000001</v>
      </c>
    </row>
    <row r="37" spans="1:3" x14ac:dyDescent="0.2">
      <c r="A37" t="s">
        <v>772</v>
      </c>
      <c r="B37" s="176">
        <v>6770.05</v>
      </c>
      <c r="C37" s="176">
        <v>1588.86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6770.05</v>
      </c>
      <c r="C40" s="168">
        <f>SUM(C37:C39)</f>
        <v>1588.86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Waterville Valley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991488.21000000008</v>
      </c>
      <c r="D5" s="19">
        <f>SUM('DOE25'!L198:L201)+SUM('DOE25'!L216:L219)+SUM('DOE25'!L234:L237)-F5-G5-H5</f>
        <v>983899.41</v>
      </c>
      <c r="E5" s="179"/>
      <c r="F5" s="180"/>
      <c r="G5" s="19">
        <f>SUM('DOE25'!J198:J201)+SUM('DOE25'!J216:J219)+SUM('DOE25'!J234:J237)</f>
        <v>7378.8</v>
      </c>
      <c r="H5" s="19">
        <f>SUM('DOE25'!K198:K201)+SUM('DOE25'!K216:K219)+SUM('DOE25'!K234:K237)</f>
        <v>210</v>
      </c>
      <c r="I5" s="191"/>
    </row>
    <row r="6" spans="1:9" x14ac:dyDescent="0.2">
      <c r="A6" s="31">
        <v>2100</v>
      </c>
      <c r="B6" t="s">
        <v>793</v>
      </c>
      <c r="C6" s="205">
        <f t="shared" si="0"/>
        <v>88662.920000000013</v>
      </c>
      <c r="D6" s="19">
        <f>'DOE25'!L203+'DOE25'!L221+'DOE25'!L239-F6-G6-H6</f>
        <v>88662.920000000013</v>
      </c>
      <c r="E6" s="179"/>
      <c r="F6" s="180"/>
      <c r="G6" s="19">
        <f>'DOE25'!J203+'DOE25'!J221+'DOE25'!J239</f>
        <v>0</v>
      </c>
      <c r="H6" s="19">
        <f>'DOE25'!K203+'DOE25'!K221+'DOE25'!K239</f>
        <v>0</v>
      </c>
      <c r="I6" s="191"/>
    </row>
    <row r="7" spans="1:9" x14ac:dyDescent="0.2">
      <c r="A7" s="31">
        <v>2200</v>
      </c>
      <c r="B7" t="s">
        <v>817</v>
      </c>
      <c r="C7" s="205">
        <f t="shared" si="0"/>
        <v>29857.7</v>
      </c>
      <c r="D7" s="19">
        <f>'DOE25'!L204+'DOE25'!L222+'DOE25'!L240-F7-G7-H7</f>
        <v>29857.7</v>
      </c>
      <c r="E7" s="179"/>
      <c r="F7" s="180"/>
      <c r="G7" s="19">
        <f>'DOE25'!J204+'DOE25'!J222+'DOE25'!J240</f>
        <v>0</v>
      </c>
      <c r="H7" s="19">
        <f>'DOE25'!K204+'DOE25'!K222+'DOE25'!K240</f>
        <v>0</v>
      </c>
      <c r="I7" s="191"/>
    </row>
    <row r="8" spans="1:9" x14ac:dyDescent="0.2">
      <c r="A8" s="31">
        <v>2300</v>
      </c>
      <c r="B8" t="s">
        <v>794</v>
      </c>
      <c r="C8" s="205">
        <f t="shared" si="0"/>
        <v>120840</v>
      </c>
      <c r="D8" s="179"/>
      <c r="E8" s="19">
        <f>'DOE25'!L205+'DOE25'!L223+'DOE25'!L241-F8-G8-H8-D9-D11</f>
        <v>118193.56</v>
      </c>
      <c r="F8" s="180"/>
      <c r="G8" s="19">
        <f>'DOE25'!J205+'DOE25'!J223+'DOE25'!J241</f>
        <v>0</v>
      </c>
      <c r="H8" s="19">
        <f>'DOE25'!K205+'DOE25'!K223+'DOE25'!K241</f>
        <v>2646.44</v>
      </c>
      <c r="I8" s="191"/>
    </row>
    <row r="9" spans="1:9" ht="14.25" x14ac:dyDescent="0.2">
      <c r="A9" s="31">
        <v>2310</v>
      </c>
      <c r="B9" s="71" t="s">
        <v>884</v>
      </c>
      <c r="C9" s="205">
        <f t="shared" si="0"/>
        <v>12107.18</v>
      </c>
      <c r="D9" s="180">
        <v>12107.18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210773.44999999995</v>
      </c>
      <c r="D12" s="19">
        <f>'DOE25'!L206+'DOE25'!L224+'DOE25'!L242-F12-G12-H12</f>
        <v>208533.86999999997</v>
      </c>
      <c r="E12" s="179"/>
      <c r="F12" s="180"/>
      <c r="G12" s="19">
        <f>'DOE25'!J206+'DOE25'!J224+'DOE25'!J242</f>
        <v>0</v>
      </c>
      <c r="H12" s="19">
        <f>'DOE25'!K206+'DOE25'!K224+'DOE25'!K242</f>
        <v>2239.58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204692.21</v>
      </c>
      <c r="D14" s="19">
        <f>'DOE25'!L208+'DOE25'!L226+'DOE25'!L244-F14-G14-H14</f>
        <v>191218.86</v>
      </c>
      <c r="E14" s="179"/>
      <c r="F14" s="180"/>
      <c r="G14" s="19">
        <f>'DOE25'!J208+'DOE25'!J226+'DOE25'!J244</f>
        <v>13473.35</v>
      </c>
      <c r="H14" s="19">
        <f>'DOE25'!K208+'DOE25'!K226+'DOE25'!K244</f>
        <v>0</v>
      </c>
      <c r="I14" s="191"/>
    </row>
    <row r="15" spans="1:9" x14ac:dyDescent="0.2">
      <c r="A15" s="31">
        <v>2700</v>
      </c>
      <c r="B15" t="s">
        <v>796</v>
      </c>
      <c r="C15" s="205">
        <f t="shared" si="0"/>
        <v>2812.15</v>
      </c>
      <c r="D15" s="19">
        <f>'DOE25'!L209+'DOE25'!L227+'DOE25'!L245-F15-G15-H15</f>
        <v>2812.15</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28325.94</v>
      </c>
      <c r="D22" s="179"/>
      <c r="E22" s="179"/>
      <c r="F22" s="179"/>
      <c r="G22" s="19">
        <f>'DOE25'!L256+'DOE25'!L337</f>
        <v>28325.94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38915.97</v>
      </c>
      <c r="D25" s="179"/>
      <c r="E25" s="179"/>
      <c r="F25" s="190"/>
      <c r="G25" s="179"/>
      <c r="H25" s="179"/>
      <c r="I25" s="189">
        <f>'DOE25'!L261+'DOE25'!L262+'DOE25'!L342+'DOE25'!L343</f>
        <v>38915.97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341.78</v>
      </c>
      <c r="D29" s="211">
        <f>'DOE25'!L359+'DOE25'!L360+'DOE25'!L361-'DOE25'!I368-F29-G29-H29-F39</f>
        <v>341.78</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92149.48000000001</v>
      </c>
      <c r="D31" s="19">
        <f>'DOE25'!L291+'DOE25'!L310+'DOE25'!L329+'DOE25'!L334+'DOE25'!L335+'DOE25'!L336-F31-G31-H31</f>
        <v>47637.48000000001</v>
      </c>
      <c r="E31" s="179"/>
      <c r="F31" s="180"/>
      <c r="G31" s="19">
        <f>'DOE25'!J291+'DOE25'!J310+'DOE25'!J329+'DOE25'!J334+'DOE25'!J335+'DOE25'!J336</f>
        <v>42030.11</v>
      </c>
      <c r="H31" s="19">
        <f>'DOE25'!K291+'DOE25'!K310+'DOE25'!K329+'DOE25'!K334+'DOE25'!K335+'DOE25'!K336</f>
        <v>2481.89</v>
      </c>
      <c r="I31" s="191"/>
    </row>
    <row r="32" spans="1:9" ht="12" thickBot="1" x14ac:dyDescent="0.25">
      <c r="C32" s="206"/>
      <c r="G32" s="187"/>
      <c r="H32" s="187"/>
      <c r="I32" s="193"/>
    </row>
    <row r="33" spans="1:9" ht="12" thickTop="1" x14ac:dyDescent="0.2">
      <c r="B33" t="s">
        <v>806</v>
      </c>
      <c r="D33" s="181">
        <f t="shared" ref="D33:I33" si="1">SUM(D5:D31)</f>
        <v>1565071.3499999999</v>
      </c>
      <c r="E33" s="181">
        <f t="shared" si="1"/>
        <v>118193.56</v>
      </c>
      <c r="F33" s="181">
        <f t="shared" si="1"/>
        <v>0</v>
      </c>
      <c r="G33" s="181">
        <f t="shared" si="1"/>
        <v>91208.2</v>
      </c>
      <c r="H33" s="181">
        <f t="shared" si="1"/>
        <v>7577.91</v>
      </c>
      <c r="I33" s="181">
        <f t="shared" si="1"/>
        <v>38915.97</v>
      </c>
    </row>
    <row r="34" spans="1:9" ht="12" thickBot="1" x14ac:dyDescent="0.25"/>
    <row r="35" spans="1:9" ht="12" thickBot="1" x14ac:dyDescent="0.25">
      <c r="B35" s="187" t="s">
        <v>827</v>
      </c>
      <c r="D35" s="188">
        <f>E33</f>
        <v>118193.56</v>
      </c>
      <c r="E35" s="184"/>
      <c r="F35" s="294" t="s">
        <v>1596</v>
      </c>
      <c r="G35" s="295"/>
      <c r="H35" s="295"/>
      <c r="I35" s="296"/>
    </row>
    <row r="36" spans="1:9" ht="12" thickTop="1" x14ac:dyDescent="0.2">
      <c r="B36" t="s">
        <v>807</v>
      </c>
      <c r="D36" s="19">
        <f>D33</f>
        <v>1565071.3499999999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Q7" sqref="Q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Waterville Valley</v>
      </c>
      <c r="B2">
        <f>'DOE25'!B2</f>
        <v>553</v>
      </c>
      <c r="J2" s="223" t="s">
        <v>1799</v>
      </c>
      <c r="K2" s="308">
        <f>SUM('DOE25'!L198:L201)+SUM('DOE25'!L277:L280)</f>
        <v>881070.66</v>
      </c>
      <c r="L2" s="308">
        <f>'DOE25'!L203+'DOE25'!L282</f>
        <v>88662.920000000013</v>
      </c>
      <c r="M2" s="308">
        <f>'DOE25'!L204+'DOE25'!L283</f>
        <v>36245.31</v>
      </c>
      <c r="N2" s="308">
        <f>'DOE25'!L206+'DOE25'!L285</f>
        <v>212034.85999999996</v>
      </c>
      <c r="O2" s="316">
        <f>'Salaries-Benefits'!B10+'Salaries-Benefits'!B12+'Salaries-Benefits'!B19+'Salaries-Benefits'!B21+'Salaries-Benefits'!B28+'Salaries-Benefits'!B30+'Salaries-Benefits'!B37+'Salaries-Benefits'!B39</f>
        <v>484662.91</v>
      </c>
      <c r="P2" s="316">
        <f>'Salaries-Benefits'!B11+'Salaries-Benefits'!B20+'Salaries-Benefits'!B29+'Salaries-Benefits'!B38</f>
        <v>36130.589999999997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1606184.03</v>
      </c>
      <c r="G4" s="228">
        <f>'DOE25'!L212+'DOE25'!L291</f>
        <v>1606184.0299999998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10574</v>
      </c>
      <c r="E5" s="219"/>
      <c r="F5" s="231">
        <f>D5+E5</f>
        <v>10574</v>
      </c>
      <c r="G5" s="222"/>
      <c r="H5" s="222"/>
      <c r="J5" s="71" t="s">
        <v>1840</v>
      </c>
      <c r="K5" s="20"/>
      <c r="L5" s="20"/>
      <c r="M5" s="20"/>
      <c r="N5" s="90"/>
      <c r="O5" s="20"/>
      <c r="P5" s="20"/>
      <c r="Q5" s="20"/>
    </row>
    <row r="6" spans="1:22" x14ac:dyDescent="0.2">
      <c r="A6" t="str" cm="1">
        <f t="array" ref="A6">IFERROR(INDEX('School Tables'!$A$4:$G$365,'School Tables'!$J4,3),"")</f>
        <v>Waterville Valley Elementary School</v>
      </c>
      <c r="B6" s="229">
        <f>IFERROR(VLOOKUP(A6,'School Tables'!$C$3:$D$365,2,FALSE),"")</f>
        <v>22385</v>
      </c>
      <c r="C6" s="222" t="str">
        <f>IFERROR(INDEX('School Tables'!$B$3:$B$365,MATCH('School Level Expenditures'!B6,'School Tables'!$D$3:$D$365,0)),"")</f>
        <v>Waterville Valley</v>
      </c>
      <c r="D6" s="219">
        <f>1661233.82-147199.27-10574</f>
        <v>1503460.55</v>
      </c>
      <c r="E6" s="219">
        <v>92149.48</v>
      </c>
      <c r="F6" s="231">
        <f t="shared" ref="F6:F20" si="2">D6+E6</f>
        <v>1595610.03</v>
      </c>
      <c r="G6" s="222"/>
      <c r="H6" s="222"/>
      <c r="J6" t="str">
        <f t="shared" ref="J6:J20" si="3">A6</f>
        <v>Waterville Valley Elementary School</v>
      </c>
      <c r="K6" s="20">
        <f>1028269.93-147199.27</f>
        <v>881070.66</v>
      </c>
      <c r="L6" s="20">
        <v>88662.92</v>
      </c>
      <c r="M6" s="307">
        <v>36245.31</v>
      </c>
      <c r="N6" s="20">
        <v>212034.86</v>
      </c>
      <c r="O6" s="20">
        <v>484662.91</v>
      </c>
      <c r="P6" s="20">
        <v>36130.589999999997</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1514034.55</v>
      </c>
      <c r="E21" s="261">
        <f>SUM(E5:E20)</f>
        <v>92149.48</v>
      </c>
      <c r="F21" s="216"/>
      <c r="G21" s="216"/>
      <c r="H21" s="216"/>
      <c r="K21" s="262">
        <f t="shared" ref="K21:Q21" si="4">SUM(K5:K20)</f>
        <v>881070.66</v>
      </c>
      <c r="L21" s="262">
        <f t="shared" si="4"/>
        <v>88662.92</v>
      </c>
      <c r="M21" s="262">
        <f t="shared" si="4"/>
        <v>36245.31</v>
      </c>
      <c r="N21" s="262">
        <f t="shared" si="4"/>
        <v>212034.86</v>
      </c>
      <c r="O21" s="262">
        <f t="shared" si="4"/>
        <v>484662.91</v>
      </c>
      <c r="P21" s="262">
        <f t="shared" si="4"/>
        <v>36130.589999999997</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147199.27000000002</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147199.26999999999</v>
      </c>
      <c r="G38" s="228">
        <f>'DOE25'!L248+'DOE25'!L329</f>
        <v>147199.27000000002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147199.26999999999</v>
      </c>
      <c r="E39" s="219"/>
      <c r="F39" s="231">
        <f t="shared" ref="F39:F44" si="10">D39+E39</f>
        <v>147199.26999999999</v>
      </c>
      <c r="G39" s="222"/>
      <c r="H39" s="222"/>
      <c r="J39" s="71" t="s">
        <v>1840</v>
      </c>
      <c r="K39" s="315">
        <v>147199.26999999999</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147199.26999999999</v>
      </c>
      <c r="E45" s="262">
        <f>SUM(E39:E44)</f>
        <v>0</v>
      </c>
      <c r="K45" s="262">
        <f t="shared" ref="K45:Q45" si="11">SUM(K39:K44)</f>
        <v>147199.26999999999</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Waterville Valley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356772.13</v>
      </c>
      <c r="D8" s="73">
        <f>'DOE25'!G9</f>
        <v>735.84</v>
      </c>
      <c r="E8" s="73">
        <f>'DOE25'!H9</f>
        <v>-7291.44</v>
      </c>
      <c r="F8" s="73">
        <f>'DOE25'!I9</f>
        <v>0</v>
      </c>
      <c r="G8" s="73">
        <f>'DOE25'!J9</f>
        <v>0</v>
      </c>
      <c r="H8" s="13">
        <f>SUM(C8:G8)</f>
        <v>350216.53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8913.98</v>
      </c>
      <c r="F12" s="73">
        <f>'DOE25'!I13</f>
        <v>0</v>
      </c>
      <c r="G12" s="73">
        <f>'DOE25'!J13</f>
        <v>0</v>
      </c>
      <c r="H12" s="13">
        <f t="shared" si="0"/>
        <v>8913.98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1958.16</v>
      </c>
      <c r="D16" s="73">
        <f>'DOE25'!G17</f>
        <v>0</v>
      </c>
      <c r="E16" s="73">
        <f>'DOE25'!H17</f>
        <v>0</v>
      </c>
      <c r="F16" s="73">
        <f>'DOE25'!I17</f>
        <v>0</v>
      </c>
      <c r="G16" s="73">
        <f>'DOE25'!J17</f>
        <v>0</v>
      </c>
      <c r="H16" s="13">
        <f t="shared" si="0"/>
        <v>1958.16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358730.29</v>
      </c>
      <c r="D18" s="38">
        <f>SUM(D8:D17)</f>
        <v>735.84</v>
      </c>
      <c r="E18" s="38">
        <f>SUM(E8:E17)</f>
        <v>1622.54</v>
      </c>
      <c r="F18" s="38">
        <f>SUM(F8:F17)</f>
        <v>0</v>
      </c>
      <c r="G18" s="38">
        <f>SUM(G8:G17)</f>
        <v>0</v>
      </c>
      <c r="H18" s="38">
        <f t="shared" si="0"/>
        <v>361088.67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4101.8900000000003</v>
      </c>
      <c r="D23" s="73">
        <f>'DOE25'!G24</f>
        <v>0</v>
      </c>
      <c r="E23" s="73">
        <f>'DOE25'!H24</f>
        <v>1622.53</v>
      </c>
      <c r="F23" s="73">
        <f>'DOE25'!I24</f>
        <v>0</v>
      </c>
      <c r="G23" s="73">
        <f>'DOE25'!J24</f>
        <v>0</v>
      </c>
      <c r="H23" s="13">
        <f t="shared" si="1"/>
        <v>5724.42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840.48</v>
      </c>
      <c r="D29" s="73">
        <f>'DOE25'!G30</f>
        <v>0</v>
      </c>
      <c r="E29" s="73">
        <f>'DOE25'!H30</f>
        <v>0</v>
      </c>
      <c r="F29" s="73">
        <f>'DOE25'!I30</f>
        <v>0</v>
      </c>
      <c r="G29" s="23" t="s">
        <v>288</v>
      </c>
      <c r="H29" s="13">
        <f t="shared" si="1"/>
        <v>840.48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4942.3700000000008</v>
      </c>
      <c r="D31" s="38">
        <f>SUM(D21:D30)</f>
        <v>0</v>
      </c>
      <c r="E31" s="38">
        <f>SUM(E21:E30)</f>
        <v>1622.53</v>
      </c>
      <c r="F31" s="38">
        <f>SUM(F21:F30)</f>
        <v>0</v>
      </c>
      <c r="G31" s="38">
        <f>SUM(G21:G30)</f>
        <v>0</v>
      </c>
      <c r="H31" s="38">
        <f t="shared" si="1"/>
        <v>6564.9000000000005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84461</v>
      </c>
      <c r="D45" s="23" t="s">
        <v>288</v>
      </c>
      <c r="E45" s="23" t="s">
        <v>288</v>
      </c>
      <c r="F45" s="23" t="s">
        <v>288</v>
      </c>
      <c r="G45" s="23" t="s">
        <v>288</v>
      </c>
      <c r="H45" s="13">
        <f t="shared" si="2"/>
        <v>84461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735.84</v>
      </c>
      <c r="E47" s="73">
        <f>'DOE25'!H48</f>
        <v>0.01</v>
      </c>
      <c r="F47" s="73">
        <f>'DOE25'!I48</f>
        <v>0</v>
      </c>
      <c r="G47" s="73">
        <f>'DOE25'!J48</f>
        <v>0</v>
      </c>
      <c r="H47" s="13">
        <f t="shared" si="2"/>
        <v>735.85</v>
      </c>
      <c r="I47" s="90"/>
    </row>
    <row r="48" spans="1:9" x14ac:dyDescent="0.2">
      <c r="A48" s="1" t="s">
        <v>878</v>
      </c>
      <c r="B48" s="6">
        <v>753</v>
      </c>
      <c r="C48" s="73">
        <f>'DOE25'!F49</f>
        <v>76940.58</v>
      </c>
      <c r="D48" s="73">
        <f>'DOE25'!G49</f>
        <v>0</v>
      </c>
      <c r="E48" s="73">
        <f>'DOE25'!H49</f>
        <v>0</v>
      </c>
      <c r="F48" s="73">
        <f>'DOE25'!I49</f>
        <v>0</v>
      </c>
      <c r="G48" s="73">
        <f>'DOE25'!J49</f>
        <v>0</v>
      </c>
      <c r="H48" s="13">
        <f t="shared" si="2"/>
        <v>76940.58</v>
      </c>
      <c r="I48" s="90"/>
    </row>
    <row r="49" spans="1:9" ht="12" thickBot="1" x14ac:dyDescent="0.25">
      <c r="A49" s="28" t="s">
        <v>879</v>
      </c>
      <c r="B49" s="56">
        <v>770</v>
      </c>
      <c r="C49" s="73">
        <f>'DOE25'!F50</f>
        <v>192386.34</v>
      </c>
      <c r="D49" s="23" t="s">
        <v>288</v>
      </c>
      <c r="E49" s="23" t="s">
        <v>288</v>
      </c>
      <c r="F49" s="23" t="s">
        <v>288</v>
      </c>
      <c r="G49" s="23" t="s">
        <v>288</v>
      </c>
      <c r="H49" s="13">
        <f t="shared" si="2"/>
        <v>192386.34</v>
      </c>
      <c r="I49" s="90"/>
    </row>
    <row r="50" spans="1:9" ht="12.75" thickTop="1" thickBot="1" x14ac:dyDescent="0.25">
      <c r="A50" s="35" t="s">
        <v>880</v>
      </c>
      <c r="B50" s="44"/>
      <c r="C50" s="38">
        <f>SUM(C34:C49)</f>
        <v>353787.92000000004</v>
      </c>
      <c r="D50" s="38">
        <f>SUM(D34:D49)</f>
        <v>735.84</v>
      </c>
      <c r="E50" s="38">
        <f>SUM(E34:E49)</f>
        <v>0.01</v>
      </c>
      <c r="F50" s="38">
        <f>SUM(F34:F49)</f>
        <v>0</v>
      </c>
      <c r="G50" s="38">
        <f>SUM(G34:G49)</f>
        <v>0</v>
      </c>
      <c r="H50" s="38">
        <f t="shared" si="2"/>
        <v>354523.77000000008</v>
      </c>
      <c r="I50" s="90"/>
    </row>
    <row r="51" spans="1:9" ht="12" thickTop="1" x14ac:dyDescent="0.2">
      <c r="A51" s="35" t="s">
        <v>881</v>
      </c>
      <c r="B51" s="2"/>
      <c r="C51" s="38">
        <f>C50+C31</f>
        <v>358730.29000000004</v>
      </c>
      <c r="D51" s="38">
        <f>D50+D31</f>
        <v>735.84</v>
      </c>
      <c r="E51" s="38">
        <f>E50+E31</f>
        <v>1622.54</v>
      </c>
      <c r="F51" s="38">
        <f>F50+F31</f>
        <v>0</v>
      </c>
      <c r="G51" s="38">
        <f>G50+G31</f>
        <v>0</v>
      </c>
      <c r="H51" s="38">
        <f t="shared" si="2"/>
        <v>361088.67000000004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1061666</v>
      </c>
      <c r="D56" s="73">
        <f>'DOE25'!G60</f>
        <v>0</v>
      </c>
      <c r="E56" s="73">
        <f>'DOE25'!H60</f>
        <v>0</v>
      </c>
      <c r="F56" s="73">
        <f>'DOE25'!I60</f>
        <v>0</v>
      </c>
      <c r="G56" s="73">
        <f>'DOE25'!J60</f>
        <v>0</v>
      </c>
      <c r="H56" s="13">
        <f t="shared" ref="H56:H63" si="3">SUM(C56:G56)</f>
        <v>1061666</v>
      </c>
      <c r="I56"/>
    </row>
    <row r="57" spans="1:9" x14ac:dyDescent="0.2">
      <c r="A57" s="1" t="s">
        <v>164</v>
      </c>
      <c r="B57" s="6" t="s">
        <v>165</v>
      </c>
      <c r="C57" s="73">
        <f>'DOE25'!F79</f>
        <v>26000</v>
      </c>
      <c r="D57" s="23" t="s">
        <v>288</v>
      </c>
      <c r="E57" s="73">
        <f>'DOE25'!H79</f>
        <v>0</v>
      </c>
      <c r="F57" s="23" t="s">
        <v>288</v>
      </c>
      <c r="G57" s="23" t="s">
        <v>288</v>
      </c>
      <c r="H57" s="13">
        <f t="shared" si="3"/>
        <v>26000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1062.43</v>
      </c>
      <c r="D59" s="73">
        <f>'DOE25'!G96</f>
        <v>0</v>
      </c>
      <c r="E59" s="73">
        <f>'DOE25'!H96</f>
        <v>0</v>
      </c>
      <c r="F59" s="73">
        <f>'DOE25'!I96</f>
        <v>0</v>
      </c>
      <c r="G59" s="73">
        <f>'DOE25'!J96</f>
        <v>0</v>
      </c>
      <c r="H59" s="13">
        <f t="shared" si="3"/>
        <v>1062.43</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892.51</v>
      </c>
      <c r="D61" s="73">
        <f>SUM('DOE25'!G98:G110)</f>
        <v>0</v>
      </c>
      <c r="E61" s="73">
        <f>SUM('DOE25'!H98:H110)</f>
        <v>0</v>
      </c>
      <c r="F61" s="73">
        <f>SUM('DOE25'!I98:I110)</f>
        <v>0</v>
      </c>
      <c r="G61" s="73">
        <f>SUM('DOE25'!J98:J110)</f>
        <v>0</v>
      </c>
      <c r="H61" s="13">
        <f t="shared" si="3"/>
        <v>892.51</v>
      </c>
      <c r="I61"/>
    </row>
    <row r="62" spans="1:9" ht="12.75" thickTop="1" thickBot="1" x14ac:dyDescent="0.25">
      <c r="A62" s="28" t="s">
        <v>174</v>
      </c>
      <c r="B62" s="6"/>
      <c r="C62" s="93">
        <f>SUM(C57:C61)</f>
        <v>27954.94</v>
      </c>
      <c r="D62" s="93">
        <f>SUM(D57:D61)</f>
        <v>0</v>
      </c>
      <c r="E62" s="93">
        <f>SUM(E57:E61)</f>
        <v>0</v>
      </c>
      <c r="F62" s="93">
        <f>SUM(F57:F61)</f>
        <v>0</v>
      </c>
      <c r="G62" s="93">
        <f>SUM(G57:G61)</f>
        <v>0</v>
      </c>
      <c r="H62" s="13">
        <f t="shared" si="3"/>
        <v>27954.94</v>
      </c>
      <c r="I62"/>
    </row>
    <row r="63" spans="1:9" ht="12" thickTop="1" x14ac:dyDescent="0.2">
      <c r="A63" s="28" t="s">
        <v>175</v>
      </c>
      <c r="B63" s="6"/>
      <c r="C63" s="21">
        <f>C56+C62</f>
        <v>1089620.94</v>
      </c>
      <c r="D63" s="21">
        <f>D56+D62</f>
        <v>0</v>
      </c>
      <c r="E63" s="21">
        <f>E56+E62</f>
        <v>0</v>
      </c>
      <c r="F63" s="21">
        <f>F56+F62</f>
        <v>0</v>
      </c>
      <c r="G63" s="21">
        <f>G56+G62</f>
        <v>0</v>
      </c>
      <c r="H63" s="13">
        <f t="shared" si="3"/>
        <v>1089620.94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627557</v>
      </c>
      <c r="D67" s="23"/>
      <c r="E67" s="23"/>
      <c r="F67" s="23"/>
      <c r="G67" s="23"/>
      <c r="H67" s="13">
        <f t="shared" si="4"/>
        <v>627557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627557</v>
      </c>
      <c r="D70" s="97">
        <f>D69</f>
        <v>0</v>
      </c>
      <c r="E70" s="97">
        <f>E69</f>
        <v>0</v>
      </c>
      <c r="F70" s="97">
        <f>F69</f>
        <v>0</v>
      </c>
      <c r="G70" s="97">
        <f>G69</f>
        <v>0</v>
      </c>
      <c r="H70" s="13">
        <f t="shared" si="4"/>
        <v>627557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42030.11</v>
      </c>
      <c r="F77" s="73">
        <f>SUM('DOE25'!I131:I135)</f>
        <v>0</v>
      </c>
      <c r="G77" s="73">
        <f>SUM('DOE25'!J131:J135)</f>
        <v>0</v>
      </c>
      <c r="H77" s="13">
        <f t="shared" si="4"/>
        <v>42030.11</v>
      </c>
      <c r="I77"/>
    </row>
    <row r="78" spans="1:9" ht="12.75" thickTop="1" thickBot="1" x14ac:dyDescent="0.25">
      <c r="A78" s="28" t="s">
        <v>259</v>
      </c>
      <c r="B78" s="6"/>
      <c r="C78" s="93">
        <f>SUM(C72:C77)</f>
        <v>0</v>
      </c>
      <c r="D78" s="93">
        <f>SUM(D72:D77)</f>
        <v>0</v>
      </c>
      <c r="E78" s="93">
        <f>SUM(E72:E77)</f>
        <v>42030.11</v>
      </c>
      <c r="F78" s="93">
        <f>SUM(F72:F77)</f>
        <v>0</v>
      </c>
      <c r="G78" s="93">
        <f>SUM(G72:G77)</f>
        <v>0</v>
      </c>
      <c r="H78" s="13">
        <f t="shared" si="4"/>
        <v>42030.11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627557</v>
      </c>
      <c r="D81" s="93">
        <f>SUM(D79:D80)+D78+D70</f>
        <v>0</v>
      </c>
      <c r="E81" s="93">
        <f>SUM(E79:E80)+E78+E70</f>
        <v>42030.11</v>
      </c>
      <c r="F81" s="93">
        <f>SUM(F79:F80)+F78+F70</f>
        <v>0</v>
      </c>
      <c r="G81" s="93">
        <f>SUM(G79:G80)+G78+G70</f>
        <v>0</v>
      </c>
      <c r="H81" s="93">
        <f t="shared" si="4"/>
        <v>669587.11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183.49</v>
      </c>
      <c r="D88" s="252">
        <f>SUM('DOE25'!G153:G162)</f>
        <v>0</v>
      </c>
      <c r="E88" s="252">
        <f>SUM('DOE25'!H153:H162)</f>
        <v>50119.39</v>
      </c>
      <c r="F88" s="252">
        <f>SUM('DOE25'!I153:I162)</f>
        <v>0</v>
      </c>
      <c r="G88" s="23" t="s">
        <v>288</v>
      </c>
      <c r="H88" s="13">
        <f t="shared" si="5"/>
        <v>50302.879999999997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20665.45</v>
      </c>
      <c r="D90" s="23" t="s">
        <v>288</v>
      </c>
      <c r="E90" s="23" t="s">
        <v>288</v>
      </c>
      <c r="F90" s="23" t="s">
        <v>288</v>
      </c>
      <c r="G90" s="23" t="s">
        <v>288</v>
      </c>
      <c r="H90" s="13">
        <f t="shared" si="5"/>
        <v>20665.45</v>
      </c>
    </row>
    <row r="91" spans="1:9" ht="12.75" thickTop="1" thickBot="1" x14ac:dyDescent="0.25">
      <c r="A91" s="32" t="s">
        <v>747</v>
      </c>
      <c r="C91" s="94">
        <f>SUM(C85:C90)</f>
        <v>20848.940000000002</v>
      </c>
      <c r="D91" s="94">
        <f>SUM(D85:D90)</f>
        <v>0</v>
      </c>
      <c r="E91" s="94">
        <f>SUM(E85:E90)</f>
        <v>50119.39</v>
      </c>
      <c r="F91" s="94">
        <f>SUM(F85:F90)</f>
        <v>0</v>
      </c>
      <c r="G91" s="23" t="s">
        <v>288</v>
      </c>
      <c r="H91" s="13">
        <f t="shared" si="5"/>
        <v>70968.33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1738026.88</v>
      </c>
      <c r="D104" s="68">
        <f>D63+D81+D91+D103</f>
        <v>0</v>
      </c>
      <c r="E104" s="68">
        <f>E63+E81+E91+E103</f>
        <v>92149.5</v>
      </c>
      <c r="F104" s="68">
        <f>F63+F81+F91+F103</f>
        <v>0</v>
      </c>
      <c r="G104" s="68">
        <f>G63+G81+G103</f>
        <v>0</v>
      </c>
      <c r="H104" s="68">
        <f t="shared" si="5"/>
        <v>1830176.38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802427.34000000008</v>
      </c>
      <c r="D109" s="23" t="s">
        <v>288</v>
      </c>
      <c r="E109" s="73">
        <f>('DOE25'!L277)+('DOE25'!L296)+('DOE25'!L315)</f>
        <v>4315.5599999999995</v>
      </c>
      <c r="F109" s="23" t="s">
        <v>288</v>
      </c>
      <c r="G109" s="23" t="s">
        <v>288</v>
      </c>
      <c r="H109" s="13">
        <f t="shared" ref="H109:H115" si="6">SUM(C109:G109)</f>
        <v>806742.90000000014</v>
      </c>
    </row>
    <row r="110" spans="1:8" x14ac:dyDescent="0.2">
      <c r="A110" t="s">
        <v>198</v>
      </c>
      <c r="B110" s="31" t="s">
        <v>199</v>
      </c>
      <c r="C110" s="73">
        <f>('DOE25'!L199)+('DOE25'!L217)+('DOE25'!L235)</f>
        <v>183022.92</v>
      </c>
      <c r="D110" s="23" t="s">
        <v>288</v>
      </c>
      <c r="E110" s="73">
        <f>('DOE25'!L278)+('DOE25'!L297)+('DOE25'!L316)</f>
        <v>13819.64</v>
      </c>
      <c r="F110" s="23" t="s">
        <v>288</v>
      </c>
      <c r="G110" s="23" t="s">
        <v>288</v>
      </c>
      <c r="H110" s="13">
        <f t="shared" si="6"/>
        <v>196842.56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6037.95</v>
      </c>
      <c r="D112" s="23" t="s">
        <v>288</v>
      </c>
      <c r="E112" s="73">
        <f>+('DOE25'!L280)+('DOE25'!L299)+('DOE25'!L318)</f>
        <v>18646.52</v>
      </c>
      <c r="F112" s="23" t="s">
        <v>288</v>
      </c>
      <c r="G112" s="23" t="s">
        <v>288</v>
      </c>
      <c r="H112" s="13">
        <f t="shared" si="6"/>
        <v>24684.47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991488.21000000008</v>
      </c>
      <c r="D115" s="68">
        <f>SUM(D109:D114)</f>
        <v>0</v>
      </c>
      <c r="E115" s="68">
        <f>SUM(E109:E114)</f>
        <v>36781.72</v>
      </c>
      <c r="F115" s="68">
        <f>SUM(F109:F114)</f>
        <v>0</v>
      </c>
      <c r="G115" s="68">
        <f>SUM(G109:G114)</f>
        <v>0</v>
      </c>
      <c r="H115" s="68">
        <f t="shared" si="6"/>
        <v>1028269.93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88662.920000000013</v>
      </c>
      <c r="D118" s="23" t="s">
        <v>288</v>
      </c>
      <c r="E118" s="73">
        <f>+('DOE25'!L282)+('DOE25'!L301)+('DOE25'!L320)</f>
        <v>0</v>
      </c>
      <c r="F118" s="23" t="s">
        <v>288</v>
      </c>
      <c r="G118" s="23" t="s">
        <v>288</v>
      </c>
      <c r="H118" s="13">
        <f t="shared" ref="H118:H145" si="7">SUM(C118:G118)</f>
        <v>88662.920000000013</v>
      </c>
    </row>
    <row r="119" spans="1:8" x14ac:dyDescent="0.2">
      <c r="A119" t="s">
        <v>208</v>
      </c>
      <c r="B119" s="31" t="s">
        <v>209</v>
      </c>
      <c r="C119" s="73">
        <f>('DOE25'!L204)+('DOE25'!L222)+('DOE25'!L240)</f>
        <v>29857.7</v>
      </c>
      <c r="D119" s="23" t="s">
        <v>288</v>
      </c>
      <c r="E119" s="73">
        <f>+('DOE25'!L283)+('DOE25'!L302)+('DOE25'!L321)</f>
        <v>6387.6100000000006</v>
      </c>
      <c r="F119" s="23" t="s">
        <v>288</v>
      </c>
      <c r="G119" s="23" t="s">
        <v>288</v>
      </c>
      <c r="H119" s="13">
        <f t="shared" si="7"/>
        <v>36245.31</v>
      </c>
    </row>
    <row r="120" spans="1:8" x14ac:dyDescent="0.2">
      <c r="A120" t="s">
        <v>210</v>
      </c>
      <c r="B120" s="31" t="s">
        <v>211</v>
      </c>
      <c r="C120" s="73">
        <f>('DOE25'!L205)+('DOE25'!L223)+('DOE25'!L241)</f>
        <v>132947.18</v>
      </c>
      <c r="D120" s="23" t="s">
        <v>288</v>
      </c>
      <c r="E120" s="73">
        <f>+('DOE25'!L284)+('DOE25'!L303)+('DOE25'!L322)</f>
        <v>1446.04</v>
      </c>
      <c r="F120" s="23" t="s">
        <v>288</v>
      </c>
      <c r="G120" s="23" t="s">
        <v>288</v>
      </c>
      <c r="H120" s="13">
        <f t="shared" si="7"/>
        <v>134393.22</v>
      </c>
    </row>
    <row r="121" spans="1:8" x14ac:dyDescent="0.2">
      <c r="A121" t="s">
        <v>212</v>
      </c>
      <c r="B121" s="31" t="s">
        <v>213</v>
      </c>
      <c r="C121" s="73">
        <f>('DOE25'!L206)+('DOE25'!L224)+('DOE25'!L242)</f>
        <v>210773.44999999995</v>
      </c>
      <c r="D121" s="23" t="s">
        <v>288</v>
      </c>
      <c r="E121" s="73">
        <f>+('DOE25'!L285)+('DOE25'!L304)+('DOE25'!L323)</f>
        <v>1261.4100000000001</v>
      </c>
      <c r="F121" s="23" t="s">
        <v>288</v>
      </c>
      <c r="G121" s="23" t="s">
        <v>288</v>
      </c>
      <c r="H121" s="13">
        <f t="shared" si="7"/>
        <v>212034.85999999996</v>
      </c>
    </row>
    <row r="122" spans="1:8" x14ac:dyDescent="0.2">
      <c r="A122" t="s">
        <v>214</v>
      </c>
      <c r="B122" s="31" t="s">
        <v>215</v>
      </c>
      <c r="C122" s="73">
        <f>('DOE25'!L207)+('DOE25'!L225)+('DOE25'!L243)</f>
        <v>0</v>
      </c>
      <c r="D122" s="23" t="s">
        <v>288</v>
      </c>
      <c r="E122" s="73">
        <f>+('DOE25'!L286)+('DOE25'!L305)+('DOE25'!L324)</f>
        <v>1617.59</v>
      </c>
      <c r="F122" s="23" t="s">
        <v>288</v>
      </c>
      <c r="G122" s="23" t="s">
        <v>288</v>
      </c>
      <c r="H122" s="13">
        <f t="shared" si="7"/>
        <v>1617.59</v>
      </c>
    </row>
    <row r="123" spans="1:8" x14ac:dyDescent="0.2">
      <c r="A123" t="s">
        <v>216</v>
      </c>
      <c r="B123" s="31" t="s">
        <v>217</v>
      </c>
      <c r="C123" s="73">
        <f>('DOE25'!L208)+('DOE25'!L226)+('DOE25'!L244)</f>
        <v>204692.21</v>
      </c>
      <c r="D123" s="23" t="s">
        <v>288</v>
      </c>
      <c r="E123" s="73">
        <f>+('DOE25'!L287)+('DOE25'!L306)+('DOE25'!L325)</f>
        <v>42030.11</v>
      </c>
      <c r="F123" s="23" t="s">
        <v>288</v>
      </c>
      <c r="G123" s="23" t="s">
        <v>288</v>
      </c>
      <c r="H123" s="13">
        <f t="shared" si="7"/>
        <v>246722.32</v>
      </c>
    </row>
    <row r="124" spans="1:8" x14ac:dyDescent="0.2">
      <c r="A124" t="s">
        <v>218</v>
      </c>
      <c r="B124" s="31" t="s">
        <v>219</v>
      </c>
      <c r="C124" s="73">
        <f>('DOE25'!L209)+('DOE25'!L227)+('DOE25'!L245+'DOE25'!L255)</f>
        <v>2812.15</v>
      </c>
      <c r="D124" s="23" t="s">
        <v>288</v>
      </c>
      <c r="E124" s="73">
        <f>+('DOE25'!L288)+('DOE25'!L307)+('DOE25'!L326)</f>
        <v>2625</v>
      </c>
      <c r="F124" s="23" t="s">
        <v>288</v>
      </c>
      <c r="G124" s="23" t="s">
        <v>288</v>
      </c>
      <c r="H124" s="13">
        <f t="shared" si="7"/>
        <v>5437.15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341.78</v>
      </c>
      <c r="E127" s="23" t="s">
        <v>288</v>
      </c>
      <c r="F127" s="23" t="s">
        <v>288</v>
      </c>
      <c r="G127" s="23" t="s">
        <v>288</v>
      </c>
      <c r="H127" s="13">
        <f t="shared" si="7"/>
        <v>341.78</v>
      </c>
    </row>
    <row r="128" spans="1:8" ht="12.75" thickTop="1" thickBot="1" x14ac:dyDescent="0.25">
      <c r="A128" s="32" t="s">
        <v>226</v>
      </c>
      <c r="C128" s="68">
        <f>SUM(C118:C127)</f>
        <v>669745.61</v>
      </c>
      <c r="D128" s="68">
        <f>SUM(D118:D127)</f>
        <v>341.78</v>
      </c>
      <c r="E128" s="68">
        <f>SUM(E118:E127)</f>
        <v>55367.76</v>
      </c>
      <c r="F128" s="68">
        <f>SUM(F118:F127)</f>
        <v>0</v>
      </c>
      <c r="G128" s="68">
        <f>SUM(G118:G127)</f>
        <v>0</v>
      </c>
      <c r="H128" s="68">
        <f t="shared" si="7"/>
        <v>725455.15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28325.94</v>
      </c>
      <c r="D130" s="23" t="s">
        <v>288</v>
      </c>
      <c r="E130" s="92">
        <f>'DOE25'!L337</f>
        <v>0</v>
      </c>
      <c r="F130" s="92">
        <f>SUM('DOE25'!L375:'DOE25'!L381)</f>
        <v>0</v>
      </c>
      <c r="G130" s="23" t="s">
        <v>288</v>
      </c>
      <c r="H130" s="13">
        <f t="shared" si="7"/>
        <v>28325.94</v>
      </c>
    </row>
    <row r="131" spans="1:8" x14ac:dyDescent="0.2">
      <c r="A131" t="s">
        <v>229</v>
      </c>
      <c r="B131" s="31">
        <v>5110</v>
      </c>
      <c r="C131" s="73">
        <f>'DOE25'!L261</f>
        <v>14140</v>
      </c>
      <c r="D131" s="23" t="s">
        <v>288</v>
      </c>
      <c r="E131" s="92">
        <f>'DOE25'!L342</f>
        <v>0</v>
      </c>
      <c r="F131" s="23" t="s">
        <v>288</v>
      </c>
      <c r="G131" s="23" t="s">
        <v>288</v>
      </c>
      <c r="H131" s="13">
        <f t="shared" si="7"/>
        <v>14140</v>
      </c>
    </row>
    <row r="132" spans="1:8" x14ac:dyDescent="0.2">
      <c r="A132" t="s">
        <v>230</v>
      </c>
      <c r="B132" s="31">
        <v>5120</v>
      </c>
      <c r="C132" s="73">
        <f>'DOE25'!L262</f>
        <v>24775.97</v>
      </c>
      <c r="D132" s="23" t="s">
        <v>288</v>
      </c>
      <c r="E132" s="92">
        <f>'DOE25'!L343</f>
        <v>0</v>
      </c>
      <c r="F132" s="23" t="s">
        <v>288</v>
      </c>
      <c r="G132" s="23" t="s">
        <v>288</v>
      </c>
      <c r="H132" s="13">
        <f t="shared" si="7"/>
        <v>24775.97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67241.91</v>
      </c>
      <c r="D144" s="98">
        <f>SUM(D130:D143)</f>
        <v>0</v>
      </c>
      <c r="E144" s="98">
        <f>SUM(E130:E143)</f>
        <v>0</v>
      </c>
      <c r="F144" s="98">
        <f>SUM(F130:F143)</f>
        <v>0</v>
      </c>
      <c r="G144" s="98">
        <f>SUM(G130:G143)</f>
        <v>0</v>
      </c>
      <c r="H144" s="98">
        <f t="shared" si="7"/>
        <v>67241.91</v>
      </c>
    </row>
    <row r="145" spans="1:9" ht="12.75" thickTop="1" thickBot="1" x14ac:dyDescent="0.25">
      <c r="A145" s="32" t="s">
        <v>244</v>
      </c>
      <c r="C145" s="68">
        <f>(C115+C128+C144)</f>
        <v>1728475.73</v>
      </c>
      <c r="D145" s="68">
        <f>(D115+D128+D144)</f>
        <v>341.78</v>
      </c>
      <c r="E145" s="68">
        <f>(E115+E128+E144)</f>
        <v>92149.48000000001</v>
      </c>
      <c r="F145" s="68">
        <f>(F115+F128+F144)</f>
        <v>0</v>
      </c>
      <c r="G145" s="68">
        <f>(G115+G128+G144)</f>
        <v>0</v>
      </c>
      <c r="H145" s="68">
        <f t="shared" si="7"/>
        <v>1820966.99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19</v>
      </c>
      <c r="C151" s="110">
        <f>'DOE25'!G491</f>
        <v>0</v>
      </c>
      <c r="D151" s="110">
        <f>'DOE25'!H491</f>
        <v>0</v>
      </c>
      <c r="E151" s="110">
        <f>'DOE25'!I491</f>
        <v>0</v>
      </c>
      <c r="F151" s="110">
        <f>'DOE25'!J491</f>
        <v>0</v>
      </c>
      <c r="G151" s="23" t="s">
        <v>288</v>
      </c>
    </row>
    <row r="152" spans="1:9" x14ac:dyDescent="0.2">
      <c r="A152" s="21" t="s">
        <v>28</v>
      </c>
      <c r="B152" s="109" t="str">
        <f>'DOE25'!F492</f>
        <v>07/22</v>
      </c>
      <c r="C152" s="109">
        <f>'DOE25'!G492</f>
        <v>0</v>
      </c>
      <c r="D152" s="109">
        <f>'DOE25'!H492</f>
        <v>0</v>
      </c>
      <c r="E152" s="109">
        <f>'DOE25'!I492</f>
        <v>0</v>
      </c>
      <c r="F152" s="109">
        <f>'DOE25'!J492</f>
        <v>0</v>
      </c>
      <c r="G152" s="23" t="s">
        <v>288</v>
      </c>
    </row>
    <row r="153" spans="1:9" x14ac:dyDescent="0.2">
      <c r="A153" s="21" t="s">
        <v>29</v>
      </c>
      <c r="B153" s="109" t="str">
        <f>'DOE25'!F493</f>
        <v>08/42</v>
      </c>
      <c r="C153" s="109">
        <f>'DOE25'!G493</f>
        <v>0</v>
      </c>
      <c r="D153" s="109">
        <f>'DOE25'!H493</f>
        <v>0</v>
      </c>
      <c r="E153" s="109">
        <f>'DOE25'!I493</f>
        <v>0</v>
      </c>
      <c r="F153" s="109">
        <f>'DOE25'!J493</f>
        <v>0</v>
      </c>
      <c r="G153" s="23" t="s">
        <v>288</v>
      </c>
    </row>
    <row r="154" spans="1:9" x14ac:dyDescent="0.2">
      <c r="A154" s="21" t="s">
        <v>30</v>
      </c>
      <c r="B154" s="19">
        <f>'DOE25'!F494</f>
        <v>585000</v>
      </c>
      <c r="C154" s="19">
        <f>'DOE25'!G494</f>
        <v>0</v>
      </c>
      <c r="D154" s="19">
        <f>'DOE25'!H494</f>
        <v>0</v>
      </c>
      <c r="E154" s="19">
        <f>'DOE25'!I494</f>
        <v>0</v>
      </c>
      <c r="F154" s="19">
        <f>'DOE25'!J494</f>
        <v>0</v>
      </c>
      <c r="G154" s="23" t="s">
        <v>288</v>
      </c>
    </row>
    <row r="155" spans="1:9" x14ac:dyDescent="0.2">
      <c r="A155" s="21" t="s">
        <v>31</v>
      </c>
      <c r="B155" s="19">
        <f>'DOE25'!F495</f>
        <v>3.49</v>
      </c>
      <c r="C155" s="19">
        <f>'DOE25'!G495</f>
        <v>0</v>
      </c>
      <c r="D155" s="19">
        <f>'DOE25'!H495</f>
        <v>0</v>
      </c>
      <c r="E155" s="19">
        <f>'DOE25'!I495</f>
        <v>0</v>
      </c>
      <c r="F155" s="19">
        <f>'DOE25'!J495</f>
        <v>0</v>
      </c>
      <c r="G155" s="23" t="s">
        <v>288</v>
      </c>
    </row>
    <row r="156" spans="1:9" x14ac:dyDescent="0.2">
      <c r="A156" s="21" t="s">
        <v>32</v>
      </c>
      <c r="B156" s="19">
        <f>'DOE25'!F496</f>
        <v>514400</v>
      </c>
      <c r="C156" s="19">
        <f>'DOE25'!G496</f>
        <v>0</v>
      </c>
      <c r="D156" s="19">
        <f>'DOE25'!H496</f>
        <v>0</v>
      </c>
      <c r="E156" s="19">
        <f>'DOE25'!I496</f>
        <v>0</v>
      </c>
      <c r="F156" s="19">
        <f>'DOE25'!J496</f>
        <v>0</v>
      </c>
      <c r="G156" s="96">
        <f>SUM(B156:F156)</f>
        <v>514400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514400</v>
      </c>
      <c r="C159" s="19">
        <f>'DOE25'!G499</f>
        <v>0</v>
      </c>
      <c r="D159" s="19">
        <f>'DOE25'!H499</f>
        <v>0</v>
      </c>
      <c r="E159" s="19">
        <f>'DOE25'!I499</f>
        <v>0</v>
      </c>
      <c r="F159" s="19">
        <f>'DOE25'!J499</f>
        <v>0</v>
      </c>
      <c r="G159" s="96">
        <f t="shared" si="8"/>
        <v>514400</v>
      </c>
    </row>
    <row r="160" spans="1:9" x14ac:dyDescent="0.2">
      <c r="A160" s="21" t="s">
        <v>36</v>
      </c>
      <c r="B160" s="19">
        <f>'DOE25'!F500</f>
        <v>255688.3</v>
      </c>
      <c r="C160" s="19">
        <f>'DOE25'!G500</f>
        <v>0</v>
      </c>
      <c r="D160" s="19">
        <f>'DOE25'!H500</f>
        <v>0</v>
      </c>
      <c r="E160" s="19">
        <f>'DOE25'!I500</f>
        <v>0</v>
      </c>
      <c r="F160" s="19">
        <f>'DOE25'!J500</f>
        <v>0</v>
      </c>
      <c r="G160" s="96">
        <f t="shared" si="8"/>
        <v>255688.3</v>
      </c>
    </row>
    <row r="161" spans="1:7" x14ac:dyDescent="0.2">
      <c r="A161" s="21" t="s">
        <v>37</v>
      </c>
      <c r="B161" s="19">
        <f>'DOE25'!F501</f>
        <v>770088.3</v>
      </c>
      <c r="C161" s="19">
        <f>'DOE25'!G501</f>
        <v>0</v>
      </c>
      <c r="D161" s="19">
        <f>'DOE25'!H501</f>
        <v>0</v>
      </c>
      <c r="E161" s="19">
        <f>'DOE25'!I501</f>
        <v>0</v>
      </c>
      <c r="F161" s="19">
        <f>'DOE25'!J501</f>
        <v>0</v>
      </c>
      <c r="G161" s="96">
        <f t="shared" si="8"/>
        <v>770088.3</v>
      </c>
    </row>
    <row r="162" spans="1:7" x14ac:dyDescent="0.2">
      <c r="A162" s="21" t="s">
        <v>38</v>
      </c>
      <c r="B162" s="19">
        <f>'DOE25'!F502</f>
        <v>17000</v>
      </c>
      <c r="C162" s="19">
        <f>'DOE25'!G502</f>
        <v>0</v>
      </c>
      <c r="D162" s="19">
        <f>'DOE25'!H502</f>
        <v>0</v>
      </c>
      <c r="E162" s="19">
        <f>'DOE25'!I502</f>
        <v>0</v>
      </c>
      <c r="F162" s="19">
        <f>'DOE25'!J502</f>
        <v>0</v>
      </c>
      <c r="G162" s="96">
        <f t="shared" si="8"/>
        <v>17000</v>
      </c>
    </row>
    <row r="163" spans="1:7" x14ac:dyDescent="0.2">
      <c r="A163" s="21" t="s">
        <v>39</v>
      </c>
      <c r="B163" s="19">
        <f>'DOE25'!F503</f>
        <v>23981.9</v>
      </c>
      <c r="C163" s="19">
        <f>'DOE25'!G503</f>
        <v>0</v>
      </c>
      <c r="D163" s="19">
        <f>'DOE25'!H503</f>
        <v>0</v>
      </c>
      <c r="E163" s="19">
        <f>'DOE25'!I503</f>
        <v>0</v>
      </c>
      <c r="F163" s="19">
        <f>'DOE25'!J503</f>
        <v>0</v>
      </c>
      <c r="G163" s="96">
        <f t="shared" si="8"/>
        <v>23981.9</v>
      </c>
    </row>
    <row r="164" spans="1:7" x14ac:dyDescent="0.2">
      <c r="A164" s="21" t="s">
        <v>246</v>
      </c>
      <c r="B164" s="19">
        <f>'DOE25'!F504</f>
        <v>40981.9</v>
      </c>
      <c r="C164" s="19">
        <f>'DOE25'!G504</f>
        <v>0</v>
      </c>
      <c r="D164" s="19">
        <f>'DOE25'!H504</f>
        <v>0</v>
      </c>
      <c r="E164" s="19">
        <f>'DOE25'!I504</f>
        <v>0</v>
      </c>
      <c r="F164" s="19">
        <f>'DOE25'!J504</f>
        <v>0</v>
      </c>
      <c r="G164" s="96">
        <f t="shared" si="8"/>
        <v>40981.9</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Waterville Valley</v>
      </c>
    </row>
    <row r="3" spans="1:4" x14ac:dyDescent="0.2">
      <c r="B3" s="136" t="s">
        <v>1792</v>
      </c>
    </row>
    <row r="4" spans="1:4" x14ac:dyDescent="0.2">
      <c r="B4" t="s">
        <v>61</v>
      </c>
      <c r="C4" s="128">
        <f>IF('DOE25'!F666+'DOE25'!F671=0,0,ROUND('DOE25'!F673,0))</f>
        <v>36616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36616</v>
      </c>
    </row>
    <row r="9" spans="1:4" x14ac:dyDescent="0.2">
      <c r="A9" s="135" t="s">
        <v>94</v>
      </c>
      <c r="B9" s="136" t="s">
        <v>1793</v>
      </c>
      <c r="C9" s="130" t="s">
        <v>720</v>
      </c>
      <c r="D9" s="130" t="s">
        <v>721</v>
      </c>
    </row>
    <row r="10" spans="1:4" x14ac:dyDescent="0.2">
      <c r="A10">
        <v>1100</v>
      </c>
      <c r="B10" t="s">
        <v>702</v>
      </c>
      <c r="C10" s="128">
        <f>ROUND('DOE25'!L198+'DOE25'!L216+'DOE25'!L234+'DOE25'!L277+'DOE25'!L296+'DOE25'!L315,0)</f>
        <v>806743</v>
      </c>
      <c r="D10" s="131">
        <f>ROUND((C10/$C$28)*100,1)</f>
        <v>45.4</v>
      </c>
    </row>
    <row r="11" spans="1:4" x14ac:dyDescent="0.2">
      <c r="A11">
        <v>1200</v>
      </c>
      <c r="B11" t="s">
        <v>703</v>
      </c>
      <c r="C11" s="128">
        <f>ROUND('DOE25'!L199+'DOE25'!L217+'DOE25'!L235+'DOE25'!L278+'DOE25'!L297+'DOE25'!L316,0)</f>
        <v>196843</v>
      </c>
      <c r="D11" s="131">
        <f>ROUND((C11/$C$28)*100,1)</f>
        <v>11.1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24684</v>
      </c>
      <c r="D13" s="131">
        <f>ROUND((C13/$C$28)*100,1)</f>
        <v>1.4</v>
      </c>
    </row>
    <row r="14" spans="1:4" x14ac:dyDescent="0.2">
      <c r="D14" s="131"/>
    </row>
    <row r="15" spans="1:4" x14ac:dyDescent="0.2">
      <c r="A15">
        <v>2100</v>
      </c>
      <c r="B15" t="s">
        <v>706</v>
      </c>
      <c r="C15" s="128">
        <f>ROUND('DOE25'!L203+'DOE25'!L221+'DOE25'!L239+'DOE25'!L282+'DOE25'!L301+'DOE25'!L320,0)</f>
        <v>88663</v>
      </c>
      <c r="D15" s="131">
        <f t="shared" ref="D15:D27" si="0">ROUND((C15/$C$28)*100,1)</f>
        <v>5</v>
      </c>
    </row>
    <row r="16" spans="1:4" x14ac:dyDescent="0.2">
      <c r="A16">
        <v>2200</v>
      </c>
      <c r="B16" t="s">
        <v>707</v>
      </c>
      <c r="C16" s="128">
        <f>ROUND('DOE25'!L204+'DOE25'!L222+'DOE25'!L240+'DOE25'!L283+'DOE25'!L302+'DOE25'!L321,0)</f>
        <v>36245</v>
      </c>
      <c r="D16" s="131">
        <f t="shared" si="0"/>
        <v>2</v>
      </c>
    </row>
    <row r="17" spans="1:4" x14ac:dyDescent="0.2">
      <c r="A17" s="132" t="s">
        <v>723</v>
      </c>
      <c r="B17" t="s">
        <v>738</v>
      </c>
      <c r="C17" s="128">
        <f>ROUND('DOE25'!L205+'DOE25'!L210+'DOE25'!L223+'DOE25'!L228+'DOE25'!L241+'DOE25'!L246+'DOE25'!L284+'DOE25'!L289+'DOE25'!L303+'DOE25'!L308+'DOE25'!L322+'DOE25'!L327,0)</f>
        <v>134393</v>
      </c>
      <c r="D17" s="131">
        <f t="shared" si="0"/>
        <v>7.6</v>
      </c>
    </row>
    <row r="18" spans="1:4" x14ac:dyDescent="0.2">
      <c r="A18">
        <v>2400</v>
      </c>
      <c r="B18" t="s">
        <v>711</v>
      </c>
      <c r="C18" s="128">
        <f>ROUND('DOE25'!L206+'DOE25'!L224+'DOE25'!L242+'DOE25'!L285+'DOE25'!L304+'DOE25'!L323,0)</f>
        <v>212035</v>
      </c>
      <c r="D18" s="131">
        <f t="shared" si="0"/>
        <v>11.9</v>
      </c>
    </row>
    <row r="19" spans="1:4" x14ac:dyDescent="0.2">
      <c r="A19">
        <v>2500</v>
      </c>
      <c r="B19" t="s">
        <v>708</v>
      </c>
      <c r="C19" s="128">
        <f>ROUND('DOE25'!L207+'DOE25'!L225+'DOE25'!L243+'DOE25'!L286+'DOE25'!L305+'DOE25'!L324,0)</f>
        <v>1618</v>
      </c>
      <c r="D19" s="131">
        <f t="shared" si="0"/>
        <v>0.1</v>
      </c>
    </row>
    <row r="20" spans="1:4" x14ac:dyDescent="0.2">
      <c r="A20">
        <v>2600</v>
      </c>
      <c r="B20" t="s">
        <v>709</v>
      </c>
      <c r="C20" s="128">
        <f>ROUND('DOE25'!L208+'DOE25'!L226+'DOE25'!L244+'DOE25'!L287+'DOE25'!L306+'DOE25'!L325,0)</f>
        <v>246722</v>
      </c>
      <c r="D20" s="131">
        <f t="shared" si="0"/>
        <v>13.9</v>
      </c>
    </row>
    <row r="21" spans="1:4" x14ac:dyDescent="0.2">
      <c r="A21">
        <v>2700</v>
      </c>
      <c r="B21" t="s">
        <v>710</v>
      </c>
      <c r="C21" s="128">
        <f>ROUND('DOE25'!L209+'DOE25'!L227+'DOE25'!L245+'DOE25'!L288+'DOE25'!L307+'DOE25'!L326,0)</f>
        <v>5437</v>
      </c>
      <c r="D21" s="131">
        <f t="shared" si="0"/>
        <v>0.3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24776</v>
      </c>
      <c r="D25" s="131">
        <f t="shared" si="0"/>
        <v>1.4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342</v>
      </c>
      <c r="D27" s="131">
        <f t="shared" si="0"/>
        <v>0</v>
      </c>
    </row>
    <row r="28" spans="1:4" x14ac:dyDescent="0.2">
      <c r="B28" s="135" t="s">
        <v>719</v>
      </c>
      <c r="C28" s="129">
        <f>SUM(C10:C27)</f>
        <v>1778501</v>
      </c>
      <c r="D28" s="133">
        <f>ROUND(SUM(D10:D27),0)</f>
        <v>100</v>
      </c>
    </row>
    <row r="29" spans="1:4" x14ac:dyDescent="0.2">
      <c r="A29">
        <v>4000</v>
      </c>
      <c r="B29" t="s">
        <v>724</v>
      </c>
      <c r="C29" s="128">
        <f>ROUND('DOE25'!L256+'DOE25'!L337+'DOE25'!L375+'DOE25'!L376+'DOE25'!L377+'DOE25'!L378+'DOE25'!L379+'DOE25'!L380+'DOE25'!L381,0)</f>
        <v>28326</v>
      </c>
    </row>
    <row r="30" spans="1:4" x14ac:dyDescent="0.2">
      <c r="B30" s="135" t="s">
        <v>725</v>
      </c>
      <c r="C30" s="129">
        <f>SUM(C28:C29)</f>
        <v>1806827</v>
      </c>
    </row>
    <row r="31" spans="1:4" x14ac:dyDescent="0.2">
      <c r="B31" s="32"/>
      <c r="C31" s="129"/>
    </row>
    <row r="32" spans="1:4" x14ac:dyDescent="0.2">
      <c r="A32">
        <v>5100</v>
      </c>
      <c r="B32" s="32" t="s">
        <v>726</v>
      </c>
      <c r="C32" s="129">
        <f>ROUND('DOE25'!L261+'DOE25'!L342,0)</f>
        <v>14140</v>
      </c>
    </row>
    <row r="34" spans="1:4" x14ac:dyDescent="0.2">
      <c r="A34" s="135" t="s">
        <v>94</v>
      </c>
      <c r="B34" s="136" t="s">
        <v>1794</v>
      </c>
      <c r="C34" s="130" t="s">
        <v>720</v>
      </c>
      <c r="D34" s="130" t="s">
        <v>721</v>
      </c>
    </row>
    <row r="35" spans="1:4" x14ac:dyDescent="0.2">
      <c r="A35">
        <v>1100</v>
      </c>
      <c r="B35" s="71" t="s">
        <v>727</v>
      </c>
      <c r="C35" s="128">
        <f>ROUND('DOE25'!F60+'DOE25'!G60+'DOE25'!H60+'DOE25'!I60+'DOE25'!J60,0)</f>
        <v>1061666</v>
      </c>
      <c r="D35" s="131">
        <f t="shared" ref="D35:D40" si="1">ROUND((C35/$C$41)*100,1)</f>
        <v>58</v>
      </c>
    </row>
    <row r="36" spans="1:4" x14ac:dyDescent="0.2">
      <c r="B36" s="71" t="s">
        <v>739</v>
      </c>
      <c r="C36" s="128">
        <f>SUM('DOE25'!F112:J112)-SUM('DOE25'!G97:G110)+('DOE25'!F175+'DOE25'!F176+'DOE25'!I175+'DOE25'!I176)-C35</f>
        <v>27954.939999999944</v>
      </c>
      <c r="D36" s="131">
        <f t="shared" si="1"/>
        <v>1.5</v>
      </c>
    </row>
    <row r="37" spans="1:4" x14ac:dyDescent="0.2">
      <c r="A37" s="132" t="s">
        <v>831</v>
      </c>
      <c r="B37" s="71" t="s">
        <v>728</v>
      </c>
      <c r="C37" s="128">
        <f>ROUND('DOE25'!F117+'DOE25'!F118,0)</f>
        <v>627557</v>
      </c>
      <c r="D37" s="131">
        <f t="shared" si="1"/>
        <v>34.299999999999997</v>
      </c>
    </row>
    <row r="38" spans="1:4" x14ac:dyDescent="0.2">
      <c r="A38" s="132" t="s">
        <v>734</v>
      </c>
      <c r="B38" s="71" t="s">
        <v>729</v>
      </c>
      <c r="C38" s="128">
        <f>ROUND(SUM('DOE25'!F140:J140)-SUM('DOE25'!F117:F119),0)</f>
        <v>42030</v>
      </c>
      <c r="D38" s="131">
        <f t="shared" si="1"/>
        <v>2.2999999999999998</v>
      </c>
    </row>
    <row r="39" spans="1:4" x14ac:dyDescent="0.2">
      <c r="A39">
        <v>4000</v>
      </c>
      <c r="B39" s="71" t="s">
        <v>730</v>
      </c>
      <c r="C39" s="128">
        <f>ROUND('DOE25'!F170+'DOE25'!G170+'DOE25'!H170+'DOE25'!I170,0)</f>
        <v>70968</v>
      </c>
      <c r="D39" s="131">
        <f t="shared" si="1"/>
        <v>3.9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1830175.94</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Waterville Valley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313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f>IF('School Level Expenditures'!$B$2=A316,'School Tables'!H316,"")</f>
        <v>313</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2024-08-14T16:02:03Z</dcterms:modified>
</cp:coreProperties>
</file>