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EEFA9CF7-F60F-4BD6-A8D7-C2193604D65F}"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33" i="1" l="1"/>
  <c r="G533" i="1"/>
  <c r="G532" i="1"/>
  <c r="F532" i="1"/>
  <c r="O6" i="14" l="1"/>
  <c r="O27" i="14"/>
  <c r="B10" i="12"/>
  <c r="B11" i="12"/>
  <c r="K26" i="14"/>
  <c r="K5" i="14"/>
  <c r="D6" i="14"/>
  <c r="E6" i="14"/>
  <c r="D27" i="14"/>
  <c r="E27" i="14"/>
  <c r="D26" i="14"/>
  <c r="D5" i="14"/>
  <c r="F24" i="1" l="1"/>
  <c r="B36" i="16" l="1"/>
  <c r="H605" i="1"/>
  <c r="AF104" i="15"/>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F99" i="15" s="1"/>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59" i="15" l="1"/>
  <c r="AF61" i="15"/>
  <c r="AF77"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A20" i="14" s="1" a="1"/>
  <c r="A20" i="14" s="1"/>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6" i="14" a="1"/>
  <c r="A6" i="14" s="1"/>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C58" i="2" s="1"/>
  <c r="F111" i="1"/>
  <c r="G111" i="1"/>
  <c r="H79" i="1"/>
  <c r="H94" i="1"/>
  <c r="E58" i="2" s="1"/>
  <c r="H111" i="1"/>
  <c r="I111" i="1"/>
  <c r="I112" i="1" s="1"/>
  <c r="J111" i="1"/>
  <c r="F121" i="1"/>
  <c r="F136" i="1"/>
  <c r="G121" i="1"/>
  <c r="G136" i="1"/>
  <c r="H121" i="1"/>
  <c r="H136" i="1"/>
  <c r="H140" i="1" s="1"/>
  <c r="I121" i="1"/>
  <c r="I136" i="1"/>
  <c r="J121" i="1"/>
  <c r="J136" i="1"/>
  <c r="J140" i="1" s="1"/>
  <c r="F147" i="1"/>
  <c r="F170" i="1" s="1"/>
  <c r="G147" i="1"/>
  <c r="D85" i="2" s="1"/>
  <c r="H147" i="1"/>
  <c r="H170" i="1" s="1"/>
  <c r="I147" i="1"/>
  <c r="F85" i="2"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H29" i="2" s="1"/>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E76" i="2"/>
  <c r="F76" i="2"/>
  <c r="C77" i="2"/>
  <c r="D77" i="2"/>
  <c r="D78" i="2" s="1"/>
  <c r="E77" i="2"/>
  <c r="F77" i="2"/>
  <c r="G77" i="2"/>
  <c r="G78" i="2" s="1"/>
  <c r="C79" i="2"/>
  <c r="D79" i="2"/>
  <c r="E79" i="2"/>
  <c r="C80" i="2"/>
  <c r="E80"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44" i="1"/>
  <c r="G645" i="1"/>
  <c r="G652" i="1"/>
  <c r="J652" i="1" s="1"/>
  <c r="H653" i="1"/>
  <c r="G654" i="1"/>
  <c r="H654" i="1"/>
  <c r="H655" i="1"/>
  <c r="H656" i="1"/>
  <c r="H113" i="2" l="1"/>
  <c r="E111" i="2"/>
  <c r="G646" i="1"/>
  <c r="H72" i="2"/>
  <c r="H143" i="2"/>
  <c r="I170" i="1"/>
  <c r="I409" i="1"/>
  <c r="C13" i="10"/>
  <c r="E112" i="2"/>
  <c r="C32" i="10"/>
  <c r="H9" i="2"/>
  <c r="D144" i="2"/>
  <c r="H25" i="2"/>
  <c r="H38" i="2"/>
  <c r="C125" i="2"/>
  <c r="H125" i="2" s="1"/>
  <c r="K36" i="14"/>
  <c r="K37" i="14" s="1"/>
  <c r="D18" i="13"/>
  <c r="C18" i="13" s="1"/>
  <c r="H34" i="2"/>
  <c r="H132" i="2"/>
  <c r="H48" i="2"/>
  <c r="H79" i="2"/>
  <c r="H35" i="2"/>
  <c r="J112" i="1"/>
  <c r="J194" i="1" s="1"/>
  <c r="D29" i="13"/>
  <c r="C29" i="13" s="1"/>
  <c r="G662" i="1"/>
  <c r="E124" i="2"/>
  <c r="E120" i="2"/>
  <c r="D15" i="13"/>
  <c r="C15" i="13" s="1"/>
  <c r="G663" i="1"/>
  <c r="C112" i="2"/>
  <c r="C12" i="10"/>
  <c r="E13" i="13"/>
  <c r="C13" i="13" s="1"/>
  <c r="C119" i="2"/>
  <c r="C120" i="2"/>
  <c r="K2" i="14"/>
  <c r="K3" i="14" s="1"/>
  <c r="H96" i="2"/>
  <c r="G62" i="2"/>
  <c r="G63" i="2" s="1"/>
  <c r="H94" i="2"/>
  <c r="H93" i="2"/>
  <c r="H87" i="2"/>
  <c r="H80" i="2"/>
  <c r="H76" i="2"/>
  <c r="H58" i="2"/>
  <c r="H102" i="2"/>
  <c r="H101" i="2"/>
  <c r="H100" i="2"/>
  <c r="H99" i="2"/>
  <c r="H98" i="2"/>
  <c r="H97" i="2"/>
  <c r="H89" i="2"/>
  <c r="H77" i="2"/>
  <c r="H69" i="2"/>
  <c r="H61" i="2"/>
  <c r="H59" i="2"/>
  <c r="C85" i="2"/>
  <c r="G409" i="1"/>
  <c r="H646" i="1" s="1"/>
  <c r="J646" i="1" s="1"/>
  <c r="H44" i="2"/>
  <c r="H43" i="2"/>
  <c r="H26" i="2"/>
  <c r="H47" i="2"/>
  <c r="H36" i="2"/>
  <c r="H27" i="2"/>
  <c r="H17" i="2"/>
  <c r="H12" i="2"/>
  <c r="H30" i="2"/>
  <c r="H28" i="2"/>
  <c r="H24" i="2"/>
  <c r="H23" i="2"/>
  <c r="H22" i="2"/>
  <c r="H15" i="2"/>
  <c r="H13" i="2"/>
  <c r="H11" i="2"/>
  <c r="H8"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J619" i="1"/>
  <c r="G42" i="2"/>
  <c r="G50" i="2" s="1"/>
  <c r="J51" i="1"/>
  <c r="G16" i="2"/>
  <c r="G18" i="2" s="1"/>
  <c r="J19" i="1"/>
  <c r="G622" i="1" s="1"/>
  <c r="F546" i="1"/>
  <c r="H435" i="1"/>
  <c r="D103" i="2"/>
  <c r="I140" i="1"/>
  <c r="A22" i="12"/>
  <c r="J653" i="1"/>
  <c r="G572" i="1"/>
  <c r="I435" i="1"/>
  <c r="G435" i="1"/>
  <c r="I664" i="1"/>
  <c r="E144" i="2" l="1"/>
  <c r="G637" i="1"/>
  <c r="I473" i="1"/>
  <c r="H112" i="2"/>
  <c r="B17" i="16"/>
  <c r="B19" i="16" s="1"/>
  <c r="G473" i="1"/>
  <c r="G647" i="1"/>
  <c r="J469" i="1"/>
  <c r="H42" i="2"/>
  <c r="H114" i="2"/>
  <c r="H134" i="2"/>
  <c r="H16" i="2"/>
  <c r="H21" i="2"/>
  <c r="H85" i="2"/>
  <c r="D128" i="2"/>
  <c r="D145" i="2" s="1"/>
  <c r="H127" i="2"/>
  <c r="H124" i="2"/>
  <c r="H120" i="2"/>
  <c r="H123" i="2"/>
  <c r="H122" i="2"/>
  <c r="I663" i="1"/>
  <c r="H119" i="2"/>
  <c r="L572" i="1"/>
  <c r="H78" i="2"/>
  <c r="H57" i="2"/>
  <c r="H103" i="2"/>
  <c r="H62" i="2"/>
  <c r="I662" i="1"/>
  <c r="F194" i="1"/>
  <c r="F469" i="1" s="1"/>
  <c r="C91" i="2"/>
  <c r="H91" i="2" s="1"/>
  <c r="C81" i="2"/>
  <c r="H81" i="2" s="1"/>
  <c r="E51" i="2"/>
  <c r="H50" i="2"/>
  <c r="D51" i="2"/>
  <c r="H31" i="2"/>
  <c r="H18" i="2"/>
  <c r="G25" i="14"/>
  <c r="H25" i="14" s="1"/>
  <c r="I25" i="14" s="1"/>
  <c r="H110" i="2"/>
  <c r="H121" i="2"/>
  <c r="E128" i="2"/>
  <c r="H118" i="2"/>
  <c r="F661" i="1"/>
  <c r="F665" i="1" s="1"/>
  <c r="F670" i="1" s="1"/>
  <c r="E115" i="2"/>
  <c r="H109" i="2"/>
  <c r="F144" i="2"/>
  <c r="H130" i="2"/>
  <c r="H661" i="1"/>
  <c r="H665" i="1" s="1"/>
  <c r="H194" i="1"/>
  <c r="H649" i="1"/>
  <c r="J649" i="1" s="1"/>
  <c r="C141" i="2"/>
  <c r="F51" i="2"/>
  <c r="G38" i="14"/>
  <c r="H38" i="14" s="1"/>
  <c r="I38" i="14" s="1"/>
  <c r="E104" i="2"/>
  <c r="C36" i="10"/>
  <c r="L435" i="1"/>
  <c r="G104" i="2"/>
  <c r="L339" i="1"/>
  <c r="L353" i="1" s="1"/>
  <c r="I194" i="1"/>
  <c r="G636" i="1"/>
  <c r="G51" i="2"/>
  <c r="D104" i="2"/>
  <c r="L409" i="1"/>
  <c r="C27" i="10"/>
  <c r="C28" i="10" s="1"/>
  <c r="D23" i="10" s="1"/>
  <c r="G4" i="14"/>
  <c r="H4" i="14" s="1"/>
  <c r="I4" i="14" s="1"/>
  <c r="L546" i="1"/>
  <c r="F104" i="2"/>
  <c r="B14" i="16"/>
  <c r="E33" i="13"/>
  <c r="D35" i="13" s="1"/>
  <c r="J648" i="1"/>
  <c r="L258" i="1"/>
  <c r="L272" i="1" s="1"/>
  <c r="C115" i="2"/>
  <c r="C63" i="2"/>
  <c r="C39" i="10"/>
  <c r="G33" i="13"/>
  <c r="C128" i="2"/>
  <c r="D31" i="13"/>
  <c r="C31" i="13" s="1"/>
  <c r="I462" i="1"/>
  <c r="H643" i="1" s="1"/>
  <c r="J643" i="1" s="1"/>
  <c r="G661" i="1"/>
  <c r="G665" i="1" s="1"/>
  <c r="C25" i="13"/>
  <c r="I33" i="13"/>
  <c r="K553" i="1"/>
  <c r="C51" i="2"/>
  <c r="G632" i="1"/>
  <c r="G194" i="1"/>
  <c r="G627" i="1"/>
  <c r="J52" i="1"/>
  <c r="H622" i="1" s="1"/>
  <c r="J622" i="1" s="1"/>
  <c r="C38" i="10"/>
  <c r="G639" i="1" l="1"/>
  <c r="J473" i="1"/>
  <c r="H637" i="1"/>
  <c r="I475" i="1"/>
  <c r="G631" i="1"/>
  <c r="I469" i="1"/>
  <c r="J637" i="1"/>
  <c r="B22" i="16"/>
  <c r="H636" i="1"/>
  <c r="J636" i="1" s="1"/>
  <c r="G475" i="1"/>
  <c r="G629" i="1"/>
  <c r="G469" i="1"/>
  <c r="G630" i="1"/>
  <c r="H469" i="1"/>
  <c r="G634" i="1"/>
  <c r="H473" i="1"/>
  <c r="J471" i="1"/>
  <c r="H632" i="1"/>
  <c r="J632" i="1" s="1"/>
  <c r="H638" i="1"/>
  <c r="G628" i="1"/>
  <c r="H628" i="1"/>
  <c r="F471" i="1"/>
  <c r="G633" i="1"/>
  <c r="F473" i="1"/>
  <c r="C104" i="2"/>
  <c r="H104" i="2" s="1"/>
  <c r="H63" i="2"/>
  <c r="C144" i="2"/>
  <c r="C145" i="2" s="1"/>
  <c r="H141" i="2"/>
  <c r="H51" i="2"/>
  <c r="H128" i="2"/>
  <c r="H115" i="2"/>
  <c r="E145" i="2"/>
  <c r="H668" i="1"/>
  <c r="H670" i="1"/>
  <c r="H673" i="1" s="1"/>
  <c r="C6" i="10" s="1"/>
  <c r="G670" i="1"/>
  <c r="G673" i="1" s="1"/>
  <c r="C5" i="10" s="1"/>
  <c r="F668" i="1"/>
  <c r="F145" i="2"/>
  <c r="I661" i="1"/>
  <c r="I665" i="1" s="1"/>
  <c r="G668" i="1"/>
  <c r="D25" i="10"/>
  <c r="G638" i="1"/>
  <c r="H647" i="1"/>
  <c r="J647" i="1" s="1"/>
  <c r="D22" i="10"/>
  <c r="D18" i="10"/>
  <c r="D27" i="10"/>
  <c r="D15" i="10"/>
  <c r="D21" i="10"/>
  <c r="D24" i="10"/>
  <c r="D20" i="10"/>
  <c r="D11" i="10"/>
  <c r="D12" i="10"/>
  <c r="D13" i="10"/>
  <c r="D17" i="10"/>
  <c r="D19" i="10"/>
  <c r="D10" i="10"/>
  <c r="D26" i="10"/>
  <c r="C30" i="10"/>
  <c r="D16" i="10"/>
  <c r="D33" i="13"/>
  <c r="D36" i="13" s="1"/>
  <c r="C41" i="10"/>
  <c r="D38" i="10" s="1"/>
  <c r="H631" i="1" l="1"/>
  <c r="I471" i="1"/>
  <c r="I477" i="1" s="1"/>
  <c r="H626" i="1" s="1"/>
  <c r="J626" i="1" s="1"/>
  <c r="J631" i="1"/>
  <c r="H639" i="1"/>
  <c r="J475" i="1"/>
  <c r="J477" i="1"/>
  <c r="H627" i="1" s="1"/>
  <c r="J627" i="1" s="1"/>
  <c r="J639" i="1"/>
  <c r="H629" i="1"/>
  <c r="J629" i="1" s="1"/>
  <c r="G471" i="1"/>
  <c r="G477" i="1" s="1"/>
  <c r="H471" i="1"/>
  <c r="H630" i="1"/>
  <c r="J630" i="1" s="1"/>
  <c r="H634" i="1"/>
  <c r="J634" i="1" s="1"/>
  <c r="H475" i="1"/>
  <c r="H477" i="1" s="1"/>
  <c r="H625" i="1" s="1"/>
  <c r="J625" i="1" s="1"/>
  <c r="J638" i="1"/>
  <c r="J628" i="1"/>
  <c r="H144" i="2"/>
  <c r="F475" i="1"/>
  <c r="F477" i="1" s="1"/>
  <c r="H623" i="1" s="1"/>
  <c r="H633" i="1"/>
  <c r="J633" i="1" s="1"/>
  <c r="H145" i="2"/>
  <c r="I670" i="1"/>
  <c r="I673" i="1" s="1"/>
  <c r="C7" i="10" s="1"/>
  <c r="F673" i="1"/>
  <c r="C4" i="10" s="1"/>
  <c r="I668" i="1"/>
  <c r="D28" i="10"/>
  <c r="D37" i="10"/>
  <c r="D36" i="10"/>
  <c r="D35" i="10"/>
  <c r="D40" i="10"/>
  <c r="D39" i="10"/>
  <c r="B33" i="16" l="1"/>
  <c r="H624" i="1"/>
  <c r="J624" i="1" s="1"/>
  <c r="J623" i="1"/>
  <c r="D41" i="10"/>
  <c r="H657"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<sst xmlns="http://schemas.openxmlformats.org/spreadsheetml/2006/main" count="6639" uniqueCount="1841">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</sst>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3" zoomScaleNormal="100" workbookViewId="0">
      <selection activeCell="G667" sqref="G667"/>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1446</v>
      </c>
      <c r="B2">
        <f>INDEX('School Tables'!$AH$3:$AH$213,MATCH('DOE25'!A2,'School Tables'!$AJ$3:$AJ$213,0))</f>
        <v>555</v>
      </c>
      <c r="C2">
        <f>INDEX('School Tables'!$AI$3:$AI$213,MATCH('DOE25'!A2,'School Tables'!$AJ$3:$AJ$213,0))</f>
        <v>555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892378.54</v>
      </c>
      <c r="G9" s="18">
        <v>0</v>
      </c>
      <c r="H9" s="18">
        <v>0</v>
      </c>
      <c r="I9" s="18">
        <v>0</v>
      </c>
      <c r="J9" s="13">
        <f>SUM(I440)</f>
        <v>1023165.91</v>
      </c>
      <c r="K9" s="23" t="s">
        <v>288</v>
      </c>
      <c r="L9" s="23" t="s">
        <v>288</v>
      </c>
      <c r="M9" s="8"/>
      <c r="N9" s="164"/>
    </row>
    <row r="10" spans="1:14" s="3" customFormat="1" ht="12.2" customHeight="1" x14ac:dyDescent="0.15">
      <c r="A10" s="1" t="s">
        <v>562</v>
      </c>
      <c r="B10" s="2" t="s">
        <v>289</v>
      </c>
      <c r="C10" s="6">
        <v>2</v>
      </c>
      <c r="D10" s="2" t="s">
        <v>428</v>
      </c>
      <c r="E10" s="6">
        <v>110</v>
      </c>
      <c r="F10" s="18">
        <v>0</v>
      </c>
      <c r="G10" s="18">
        <v>0</v>
      </c>
      <c r="H10" s="18">
        <v>0</v>
      </c>
      <c r="I10" s="18">
        <v>0</v>
      </c>
      <c r="J10" s="13">
        <f>SUM(I441)</f>
        <v>0</v>
      </c>
      <c r="K10" s="23" t="s">
        <v>288</v>
      </c>
      <c r="L10" s="23" t="s">
        <v>288</v>
      </c>
      <c r="M10" s="8"/>
      <c r="N10" s="164"/>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0</v>
      </c>
      <c r="G12" s="18">
        <v>0</v>
      </c>
      <c r="H12" s="18">
        <v>0</v>
      </c>
      <c r="I12" s="18">
        <v>0</v>
      </c>
      <c r="J12" s="13">
        <f>SUM(I442)</f>
        <v>0</v>
      </c>
      <c r="K12" s="23" t="s">
        <v>288</v>
      </c>
      <c r="L12" s="23" t="s">
        <v>288</v>
      </c>
      <c r="M12" s="8"/>
      <c r="N12" s="164"/>
    </row>
    <row r="13" spans="1:14" s="3" customFormat="1" ht="12.2" customHeight="1" x14ac:dyDescent="0.15">
      <c r="A13" s="1" t="s">
        <v>604</v>
      </c>
      <c r="B13" s="2" t="s">
        <v>289</v>
      </c>
      <c r="C13" s="6">
        <v>5</v>
      </c>
      <c r="D13" s="2" t="s">
        <v>428</v>
      </c>
      <c r="E13" s="6">
        <v>140</v>
      </c>
      <c r="F13" s="18">
        <v>3975.43</v>
      </c>
      <c r="G13" s="18">
        <v>20853.8</v>
      </c>
      <c r="H13" s="18">
        <v>242602.38</v>
      </c>
      <c r="I13" s="18">
        <v>0</v>
      </c>
      <c r="J13" s="13">
        <f>SUM(I443)</f>
        <v>0</v>
      </c>
      <c r="K13" s="23" t="s">
        <v>288</v>
      </c>
      <c r="L13" s="23" t="s">
        <v>288</v>
      </c>
      <c r="M13" s="8"/>
      <c r="N13" s="164"/>
    </row>
    <row r="14" spans="1:14" s="3" customFormat="1" ht="12.2" customHeight="1" x14ac:dyDescent="0.15">
      <c r="A14" s="1" t="s">
        <v>565</v>
      </c>
      <c r="B14" s="2" t="s">
        <v>289</v>
      </c>
      <c r="C14" s="6">
        <v>6</v>
      </c>
      <c r="D14" s="2" t="s">
        <v>428</v>
      </c>
      <c r="E14" s="6">
        <v>150</v>
      </c>
      <c r="F14" s="18">
        <v>2492.94</v>
      </c>
      <c r="G14" s="18">
        <v>0</v>
      </c>
      <c r="H14" s="18">
        <v>0</v>
      </c>
      <c r="I14" s="18">
        <v>0</v>
      </c>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v>0</v>
      </c>
      <c r="G16" s="18">
        <v>0</v>
      </c>
      <c r="H16" s="18">
        <v>0</v>
      </c>
      <c r="I16" s="18">
        <v>0</v>
      </c>
      <c r="J16" s="23" t="s">
        <v>288</v>
      </c>
      <c r="K16" s="23" t="s">
        <v>288</v>
      </c>
      <c r="L16" s="23" t="s">
        <v>288</v>
      </c>
      <c r="M16" s="8"/>
      <c r="N16" s="164"/>
    </row>
    <row r="17" spans="1:14" s="3" customFormat="1" ht="12.2" customHeight="1" x14ac:dyDescent="0.15">
      <c r="A17" s="1" t="s">
        <v>567</v>
      </c>
      <c r="B17" s="2" t="s">
        <v>289</v>
      </c>
      <c r="C17" s="6">
        <v>9</v>
      </c>
      <c r="D17" s="2" t="s">
        <v>428</v>
      </c>
      <c r="E17" s="6">
        <v>180</v>
      </c>
      <c r="F17" s="18">
        <v>132.05000000000001</v>
      </c>
      <c r="G17" s="18">
        <v>0</v>
      </c>
      <c r="H17" s="18">
        <v>0</v>
      </c>
      <c r="I17" s="18">
        <v>0</v>
      </c>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v>0</v>
      </c>
      <c r="G18" s="18">
        <v>0</v>
      </c>
      <c r="H18" s="102">
        <v>0</v>
      </c>
      <c r="I18" s="18">
        <v>0</v>
      </c>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898978.96000000008</v>
      </c>
      <c r="G19" s="38">
        <f>SUM(G9:G18)</f>
        <v>20853.8</v>
      </c>
      <c r="H19" s="38">
        <f>SUM(H9:H18)</f>
        <v>242602.38</v>
      </c>
      <c r="I19" s="38">
        <f>SUM(I9:I18)</f>
        <v>0</v>
      </c>
      <c r="J19" s="38">
        <f>SUM(J9:J18)</f>
        <v>1023165.91</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122683.02</v>
      </c>
      <c r="G22" s="18">
        <v>-345299.68</v>
      </c>
      <c r="H22" s="18">
        <v>222643.91</v>
      </c>
      <c r="I22" s="18">
        <v>0</v>
      </c>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28742.69</v>
      </c>
      <c r="G23" s="18">
        <v>0</v>
      </c>
      <c r="H23" s="18">
        <v>0</v>
      </c>
      <c r="I23" s="18">
        <v>0</v>
      </c>
      <c r="J23" s="13">
        <f>SUM(I450)</f>
        <v>0</v>
      </c>
      <c r="K23" s="23" t="s">
        <v>288</v>
      </c>
      <c r="L23" s="23" t="s">
        <v>288</v>
      </c>
      <c r="M23" s="8"/>
      <c r="N23" s="164"/>
    </row>
    <row r="24" spans="1:14" s="3" customFormat="1" ht="12.2" customHeight="1" x14ac:dyDescent="0.15">
      <c r="A24" s="1" t="s">
        <v>570</v>
      </c>
      <c r="B24" s="2" t="s">
        <v>289</v>
      </c>
      <c r="C24" s="6">
        <v>14</v>
      </c>
      <c r="D24" s="2" t="s">
        <v>429</v>
      </c>
      <c r="E24" s="6">
        <v>420</v>
      </c>
      <c r="F24" s="18">
        <f>19996.64+188918.75</f>
        <v>208915.39</v>
      </c>
      <c r="G24" s="18">
        <v>102050.61</v>
      </c>
      <c r="H24" s="18">
        <v>11262.13</v>
      </c>
      <c r="I24" s="18">
        <v>0</v>
      </c>
      <c r="J24" s="13">
        <f>SUM(I451)</f>
        <v>0</v>
      </c>
      <c r="K24" s="23" t="s">
        <v>288</v>
      </c>
      <c r="L24" s="23" t="s">
        <v>288</v>
      </c>
      <c r="M24" s="8"/>
      <c r="N24" s="164"/>
    </row>
    <row r="25" spans="1:14" s="3" customFormat="1" ht="12.2" customHeight="1" x14ac:dyDescent="0.15">
      <c r="A25" s="1" t="s">
        <v>574</v>
      </c>
      <c r="B25" s="2" t="s">
        <v>289</v>
      </c>
      <c r="C25" s="6">
        <v>15</v>
      </c>
      <c r="D25" s="2" t="s">
        <v>429</v>
      </c>
      <c r="E25" s="6">
        <v>430</v>
      </c>
      <c r="F25" s="18">
        <v>0</v>
      </c>
      <c r="G25" s="102">
        <v>0</v>
      </c>
      <c r="H25" s="18">
        <v>0</v>
      </c>
      <c r="I25" s="18">
        <v>0</v>
      </c>
      <c r="J25" s="23" t="s">
        <v>288</v>
      </c>
      <c r="K25" s="23" t="s">
        <v>288</v>
      </c>
      <c r="L25" s="23" t="s">
        <v>288</v>
      </c>
      <c r="M25" s="8"/>
      <c r="N25" s="164"/>
    </row>
    <row r="26" spans="1:14" s="3" customFormat="1" ht="12.2" customHeight="1" x14ac:dyDescent="0.15">
      <c r="A26" s="1" t="s">
        <v>571</v>
      </c>
      <c r="B26" s="2" t="s">
        <v>289</v>
      </c>
      <c r="C26" s="6">
        <v>16</v>
      </c>
      <c r="D26" s="2" t="s">
        <v>429</v>
      </c>
      <c r="E26" s="6">
        <v>440</v>
      </c>
      <c r="F26" s="18">
        <v>0</v>
      </c>
      <c r="G26" s="23" t="s">
        <v>288</v>
      </c>
      <c r="H26" s="23" t="s">
        <v>288</v>
      </c>
      <c r="I26" s="18">
        <v>0</v>
      </c>
      <c r="J26" s="23" t="s">
        <v>288</v>
      </c>
      <c r="K26" s="23" t="s">
        <v>288</v>
      </c>
      <c r="L26" s="23" t="s">
        <v>288</v>
      </c>
      <c r="M26" s="8"/>
      <c r="N26" s="164"/>
    </row>
    <row r="27" spans="1:14" s="3" customFormat="1" ht="12.2" customHeight="1" x14ac:dyDescent="0.15">
      <c r="A27" s="1" t="s">
        <v>572</v>
      </c>
      <c r="B27" s="2" t="s">
        <v>289</v>
      </c>
      <c r="C27" s="6">
        <v>17</v>
      </c>
      <c r="D27" s="2" t="s">
        <v>429</v>
      </c>
      <c r="E27" s="6">
        <v>450</v>
      </c>
      <c r="F27" s="18">
        <v>0</v>
      </c>
      <c r="G27" s="23" t="s">
        <v>288</v>
      </c>
      <c r="H27" s="23" t="s">
        <v>288</v>
      </c>
      <c r="I27" s="18">
        <v>0</v>
      </c>
      <c r="J27" s="23" t="s">
        <v>288</v>
      </c>
      <c r="K27" s="23" t="s">
        <v>288</v>
      </c>
      <c r="L27" s="23" t="s">
        <v>288</v>
      </c>
      <c r="M27" s="8"/>
      <c r="N27" s="164"/>
    </row>
    <row r="28" spans="1:14" s="3" customFormat="1" ht="12.2" customHeight="1" x14ac:dyDescent="0.15">
      <c r="A28" s="1" t="s">
        <v>573</v>
      </c>
      <c r="B28" s="2" t="s">
        <v>289</v>
      </c>
      <c r="C28" s="6">
        <v>18</v>
      </c>
      <c r="D28" s="2" t="s">
        <v>429</v>
      </c>
      <c r="E28" s="6">
        <v>460</v>
      </c>
      <c r="F28" s="18">
        <v>44918.5</v>
      </c>
      <c r="G28" s="18">
        <v>0</v>
      </c>
      <c r="H28" s="18">
        <v>0</v>
      </c>
      <c r="I28" s="18">
        <v>0</v>
      </c>
      <c r="J28" s="23" t="s">
        <v>288</v>
      </c>
      <c r="K28" s="23" t="s">
        <v>288</v>
      </c>
      <c r="L28" s="23" t="s">
        <v>288</v>
      </c>
      <c r="M28" s="8"/>
      <c r="N28" s="164"/>
    </row>
    <row r="29" spans="1:14" s="3" customFormat="1" ht="12.2" customHeight="1" x14ac:dyDescent="0.15">
      <c r="A29" s="1" t="s">
        <v>575</v>
      </c>
      <c r="B29" s="2" t="s">
        <v>289</v>
      </c>
      <c r="C29" s="6">
        <v>19</v>
      </c>
      <c r="D29" s="2" t="s">
        <v>429</v>
      </c>
      <c r="E29" s="6">
        <v>470</v>
      </c>
      <c r="F29" s="18">
        <v>24071.35</v>
      </c>
      <c r="G29" s="18">
        <v>0</v>
      </c>
      <c r="H29" s="18">
        <v>0</v>
      </c>
      <c r="I29" s="18">
        <v>0</v>
      </c>
      <c r="J29" s="23" t="s">
        <v>288</v>
      </c>
      <c r="K29" s="23" t="s">
        <v>288</v>
      </c>
      <c r="L29" s="23" t="s">
        <v>288</v>
      </c>
      <c r="M29" s="8"/>
      <c r="N29" s="164"/>
    </row>
    <row r="30" spans="1:14" s="3" customFormat="1" ht="12.2" customHeight="1" x14ac:dyDescent="0.15">
      <c r="A30" s="1" t="s">
        <v>576</v>
      </c>
      <c r="B30" s="2" t="s">
        <v>289</v>
      </c>
      <c r="C30" s="6">
        <v>20</v>
      </c>
      <c r="D30" s="2" t="s">
        <v>429</v>
      </c>
      <c r="E30" s="6">
        <v>480</v>
      </c>
      <c r="F30" s="18">
        <v>0</v>
      </c>
      <c r="G30" s="18">
        <v>10325.23</v>
      </c>
      <c r="H30" s="18">
        <v>0</v>
      </c>
      <c r="I30" s="18">
        <v>0</v>
      </c>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v>0</v>
      </c>
      <c r="G31" s="18">
        <v>0</v>
      </c>
      <c r="H31" s="18">
        <v>0</v>
      </c>
      <c r="I31" s="18">
        <v>0</v>
      </c>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429330.94999999995</v>
      </c>
      <c r="G32" s="38">
        <f>SUM(G22:G31)</f>
        <v>-232923.84</v>
      </c>
      <c r="H32" s="38">
        <f>SUM(H22:H31)</f>
        <v>233906.04</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v>0</v>
      </c>
      <c r="G35" s="18">
        <v>0</v>
      </c>
      <c r="H35" s="18">
        <v>0</v>
      </c>
      <c r="I35" s="18">
        <v>0</v>
      </c>
      <c r="J35" s="23" t="s">
        <v>288</v>
      </c>
      <c r="K35" s="23" t="s">
        <v>288</v>
      </c>
      <c r="L35" s="23" t="s">
        <v>288</v>
      </c>
      <c r="M35" s="8"/>
      <c r="N35" s="164"/>
    </row>
    <row r="36" spans="1:14" s="3" customFormat="1" ht="12.2" customHeight="1" x14ac:dyDescent="0.15">
      <c r="A36" s="1" t="s">
        <v>578</v>
      </c>
      <c r="B36" s="6">
        <v>1</v>
      </c>
      <c r="C36" s="6">
        <v>24</v>
      </c>
      <c r="D36" s="2" t="s">
        <v>653</v>
      </c>
      <c r="E36" s="6">
        <v>752</v>
      </c>
      <c r="F36" s="18">
        <v>0</v>
      </c>
      <c r="G36" s="18">
        <v>0</v>
      </c>
      <c r="H36" s="18">
        <v>0</v>
      </c>
      <c r="I36" s="18">
        <v>0</v>
      </c>
      <c r="J36" s="23" t="s">
        <v>288</v>
      </c>
      <c r="K36" s="23" t="s">
        <v>288</v>
      </c>
      <c r="L36" s="23" t="s">
        <v>288</v>
      </c>
      <c r="M36" s="8"/>
      <c r="N36" s="164"/>
    </row>
    <row r="37" spans="1:14" s="3" customFormat="1" ht="12.2" customHeight="1" x14ac:dyDescent="0.15">
      <c r="A37" s="1" t="s">
        <v>848</v>
      </c>
      <c r="B37" s="6">
        <v>1</v>
      </c>
      <c r="C37" s="6">
        <v>25</v>
      </c>
      <c r="D37" s="2" t="s">
        <v>653</v>
      </c>
      <c r="E37" s="6">
        <v>756</v>
      </c>
      <c r="F37" s="18">
        <v>0</v>
      </c>
      <c r="G37" s="18">
        <v>0</v>
      </c>
      <c r="H37" s="18">
        <v>0</v>
      </c>
      <c r="I37" s="18">
        <v>0</v>
      </c>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v>0</v>
      </c>
      <c r="H39" s="18">
        <v>0</v>
      </c>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v>0</v>
      </c>
      <c r="G43" s="18">
        <v>0</v>
      </c>
      <c r="H43" s="18">
        <v>0</v>
      </c>
      <c r="I43" s="18">
        <v>0</v>
      </c>
      <c r="J43" s="13">
        <f>SUM(I457)</f>
        <v>0</v>
      </c>
      <c r="K43" s="23" t="s">
        <v>288</v>
      </c>
      <c r="L43" s="23" t="s">
        <v>288</v>
      </c>
      <c r="M43" s="8"/>
      <c r="N43" s="164"/>
    </row>
    <row r="44" spans="1:14" s="3" customFormat="1" ht="12.2" customHeight="1" x14ac:dyDescent="0.15">
      <c r="A44" s="1" t="s">
        <v>833</v>
      </c>
      <c r="B44" s="6">
        <v>1</v>
      </c>
      <c r="C44" s="6">
        <v>30</v>
      </c>
      <c r="D44" s="2" t="s">
        <v>653</v>
      </c>
      <c r="E44" s="6">
        <v>755</v>
      </c>
      <c r="F44" s="18">
        <v>0</v>
      </c>
      <c r="G44" s="18"/>
      <c r="H44" s="18"/>
      <c r="I44" s="18">
        <v>0</v>
      </c>
      <c r="J44" s="23" t="s">
        <v>288</v>
      </c>
      <c r="K44" s="23" t="s">
        <v>288</v>
      </c>
      <c r="L44" s="23" t="s">
        <v>288</v>
      </c>
      <c r="M44" s="8"/>
      <c r="N44" s="164"/>
    </row>
    <row r="45" spans="1:14" s="3" customFormat="1" ht="12.2" customHeight="1" x14ac:dyDescent="0.15">
      <c r="A45" s="1" t="s">
        <v>834</v>
      </c>
      <c r="B45" s="6">
        <v>1</v>
      </c>
      <c r="C45" s="6">
        <v>31</v>
      </c>
      <c r="D45" s="2"/>
      <c r="E45" s="6">
        <v>753</v>
      </c>
      <c r="F45" s="18">
        <v>132674.51</v>
      </c>
      <c r="G45" s="18">
        <v>0</v>
      </c>
      <c r="H45" s="18">
        <v>0</v>
      </c>
      <c r="I45" s="18">
        <v>0</v>
      </c>
      <c r="J45" s="13">
        <f>I456</f>
        <v>0</v>
      </c>
      <c r="K45" s="23" t="s">
        <v>288</v>
      </c>
      <c r="L45" s="23" t="s">
        <v>288</v>
      </c>
      <c r="M45" s="8"/>
      <c r="N45" s="164"/>
    </row>
    <row r="46" spans="1:14" s="3" customFormat="1" ht="12.2" customHeight="1" x14ac:dyDescent="0.15">
      <c r="A46" s="1" t="s">
        <v>870</v>
      </c>
      <c r="B46" s="6">
        <v>1</v>
      </c>
      <c r="C46" s="6">
        <v>32</v>
      </c>
      <c r="D46" s="2"/>
      <c r="E46" s="6"/>
      <c r="F46" s="18">
        <v>0</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v>0</v>
      </c>
      <c r="G48" s="18">
        <v>253777.64</v>
      </c>
      <c r="H48" s="18">
        <v>8696.34</v>
      </c>
      <c r="I48" s="18">
        <v>0</v>
      </c>
      <c r="J48" s="13">
        <f>SUM(I460)</f>
        <v>1023165.91</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336973.5</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469648.01</v>
      </c>
      <c r="G51" s="38">
        <f>SUM(G35:G50)</f>
        <v>253777.64</v>
      </c>
      <c r="H51" s="38">
        <f>SUM(H35:H50)</f>
        <v>8696.34</v>
      </c>
      <c r="I51" s="38">
        <f>SUM(I35:I50)</f>
        <v>0</v>
      </c>
      <c r="J51" s="38">
        <f>SUM(J35:J50)</f>
        <v>1023165.91</v>
      </c>
      <c r="K51" s="42" t="s">
        <v>288</v>
      </c>
      <c r="L51" s="42" t="s">
        <v>288</v>
      </c>
      <c r="N51" s="130"/>
    </row>
    <row r="52" spans="1:14" s="3" customFormat="1" ht="12.2" customHeight="1" thickTop="1" x14ac:dyDescent="0.15">
      <c r="A52" s="35" t="s">
        <v>455</v>
      </c>
      <c r="B52" s="36" t="s">
        <v>289</v>
      </c>
      <c r="C52" s="6">
        <v>37</v>
      </c>
      <c r="D52" s="36" t="s">
        <v>653</v>
      </c>
      <c r="E52" s="36"/>
      <c r="F52" s="38">
        <f>F51+F32</f>
        <v>898978.96</v>
      </c>
      <c r="G52" s="38">
        <f>G51+G32</f>
        <v>20853.800000000017</v>
      </c>
      <c r="H52" s="38">
        <f>H51+H32</f>
        <v>242602.38</v>
      </c>
      <c r="I52" s="38">
        <f>I51+I32</f>
        <v>0</v>
      </c>
      <c r="J52" s="38">
        <f>J51+J32</f>
        <v>1023165.91</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9785915</v>
      </c>
      <c r="G57" s="18">
        <v>0</v>
      </c>
      <c r="H57" s="18">
        <v>0</v>
      </c>
      <c r="I57" s="18">
        <v>0</v>
      </c>
      <c r="J57" s="18">
        <v>0</v>
      </c>
      <c r="K57" s="23" t="s">
        <v>288</v>
      </c>
      <c r="L57" s="23" t="s">
        <v>288</v>
      </c>
      <c r="M57" s="8"/>
      <c r="N57" s="164"/>
    </row>
    <row r="58" spans="1:14" s="3" customFormat="1" ht="12.2" customHeight="1" x14ac:dyDescent="0.15">
      <c r="A58" s="1" t="s">
        <v>512</v>
      </c>
      <c r="B58" s="2" t="s">
        <v>309</v>
      </c>
      <c r="C58" s="6">
        <v>2</v>
      </c>
      <c r="D58" s="2" t="s">
        <v>430</v>
      </c>
      <c r="E58" s="6">
        <v>1112</v>
      </c>
      <c r="F58" s="18">
        <v>0</v>
      </c>
      <c r="G58" s="18">
        <v>0</v>
      </c>
      <c r="H58" s="23" t="s">
        <v>288</v>
      </c>
      <c r="I58" s="18">
        <v>0</v>
      </c>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v>0</v>
      </c>
      <c r="G59" s="18">
        <v>0</v>
      </c>
      <c r="H59" s="18">
        <v>0</v>
      </c>
      <c r="I59" s="18">
        <v>0</v>
      </c>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9785915</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360</v>
      </c>
      <c r="G63" s="23" t="s">
        <v>288</v>
      </c>
      <c r="H63" s="18">
        <v>0</v>
      </c>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v>0</v>
      </c>
      <c r="G64" s="23" t="s">
        <v>288</v>
      </c>
      <c r="H64" s="18">
        <v>0</v>
      </c>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v>0</v>
      </c>
      <c r="G65" s="23" t="s">
        <v>288</v>
      </c>
      <c r="H65" s="18">
        <v>0</v>
      </c>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v>0</v>
      </c>
      <c r="G66" s="23" t="s">
        <v>288</v>
      </c>
      <c r="H66" s="18">
        <v>0</v>
      </c>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0</v>
      </c>
      <c r="G68" s="23" t="s">
        <v>288</v>
      </c>
      <c r="H68" s="18">
        <v>0</v>
      </c>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0</v>
      </c>
      <c r="G69" s="23" t="s">
        <v>288</v>
      </c>
      <c r="H69" s="18">
        <v>0</v>
      </c>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v>0</v>
      </c>
      <c r="G70" s="23" t="s">
        <v>288</v>
      </c>
      <c r="H70" s="18">
        <v>0</v>
      </c>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v>0</v>
      </c>
      <c r="G72" s="23" t="s">
        <v>288</v>
      </c>
      <c r="H72" s="18">
        <v>0</v>
      </c>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v>0</v>
      </c>
      <c r="G73" s="23" t="s">
        <v>288</v>
      </c>
      <c r="H73" s="18">
        <v>0</v>
      </c>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v>0</v>
      </c>
      <c r="G74" s="23" t="s">
        <v>288</v>
      </c>
      <c r="H74" s="18">
        <v>0</v>
      </c>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v>0</v>
      </c>
      <c r="G76" s="23" t="s">
        <v>288</v>
      </c>
      <c r="H76" s="18">
        <v>0</v>
      </c>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v>0</v>
      </c>
      <c r="G77" s="23" t="s">
        <v>288</v>
      </c>
      <c r="H77" s="18">
        <v>0</v>
      </c>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v>0</v>
      </c>
      <c r="G78" s="23" t="s">
        <v>288</v>
      </c>
      <c r="H78" s="18">
        <v>0</v>
      </c>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360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v>90981</v>
      </c>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v>0</v>
      </c>
      <c r="G84" s="23" t="s">
        <v>288</v>
      </c>
      <c r="H84" s="18">
        <v>0</v>
      </c>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v>0</v>
      </c>
      <c r="G86" s="23" t="s">
        <v>288</v>
      </c>
      <c r="H86" s="18">
        <v>0</v>
      </c>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v>0</v>
      </c>
      <c r="G87" s="23" t="s">
        <v>288</v>
      </c>
      <c r="H87" s="18">
        <v>0</v>
      </c>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v>0</v>
      </c>
      <c r="G88" s="23" t="s">
        <v>288</v>
      </c>
      <c r="H88" s="18">
        <v>0</v>
      </c>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v>0</v>
      </c>
      <c r="G90" s="23" t="s">
        <v>288</v>
      </c>
      <c r="H90" s="18">
        <v>0</v>
      </c>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v>0</v>
      </c>
      <c r="G91" s="23" t="s">
        <v>288</v>
      </c>
      <c r="H91" s="18">
        <v>0</v>
      </c>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v>0</v>
      </c>
      <c r="G92" s="23" t="s">
        <v>288</v>
      </c>
      <c r="H92" s="18">
        <v>0</v>
      </c>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v>0</v>
      </c>
      <c r="G93" s="23" t="s">
        <v>288</v>
      </c>
      <c r="H93" s="18">
        <v>0</v>
      </c>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90981</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33198.480000000003</v>
      </c>
      <c r="G96" s="18">
        <v>0</v>
      </c>
      <c r="H96" s="18">
        <v>0</v>
      </c>
      <c r="I96" s="18">
        <v>0</v>
      </c>
      <c r="J96" s="18">
        <v>1024.02</v>
      </c>
      <c r="K96" s="23" t="s">
        <v>288</v>
      </c>
      <c r="L96" s="23" t="s">
        <v>288</v>
      </c>
      <c r="M96" s="8"/>
      <c r="N96" s="164"/>
    </row>
    <row r="97" spans="1:14" s="3" customFormat="1" ht="12.2" customHeight="1" x14ac:dyDescent="0.15">
      <c r="A97" s="1" t="s">
        <v>503</v>
      </c>
      <c r="B97" s="2" t="s">
        <v>315</v>
      </c>
      <c r="C97" s="6">
        <v>12</v>
      </c>
      <c r="D97" s="2" t="s">
        <v>430</v>
      </c>
      <c r="E97" s="6">
        <v>1600</v>
      </c>
      <c r="F97" s="23" t="s">
        <v>288</v>
      </c>
      <c r="G97" s="18">
        <v>286664.59000000003</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v>0</v>
      </c>
      <c r="G98" s="23" t="s">
        <v>288</v>
      </c>
      <c r="H98" s="18">
        <v>0</v>
      </c>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v>0</v>
      </c>
      <c r="G99" s="18">
        <v>0</v>
      </c>
      <c r="H99" s="18">
        <v>0</v>
      </c>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0</v>
      </c>
      <c r="G101" s="18">
        <v>0</v>
      </c>
      <c r="H101" s="18">
        <v>0</v>
      </c>
      <c r="I101" s="18">
        <v>0</v>
      </c>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v>0</v>
      </c>
      <c r="G102" s="18">
        <v>0</v>
      </c>
      <c r="H102" s="18">
        <v>0</v>
      </c>
      <c r="I102" s="18">
        <v>0</v>
      </c>
      <c r="J102" s="18"/>
      <c r="K102" s="23" t="s">
        <v>288</v>
      </c>
      <c r="L102" s="23" t="s">
        <v>288</v>
      </c>
      <c r="M102" s="8"/>
      <c r="N102" s="164"/>
    </row>
    <row r="103" spans="1:14" s="3" customFormat="1" ht="12.2" customHeight="1" x14ac:dyDescent="0.15">
      <c r="A103" s="1" t="s">
        <v>507</v>
      </c>
      <c r="B103" s="2" t="s">
        <v>315</v>
      </c>
      <c r="C103" s="6">
        <v>17</v>
      </c>
      <c r="D103" s="2" t="s">
        <v>430</v>
      </c>
      <c r="E103" s="6">
        <v>1930</v>
      </c>
      <c r="F103" s="18">
        <v>0</v>
      </c>
      <c r="G103" s="18">
        <v>0</v>
      </c>
      <c r="H103" s="18">
        <v>0</v>
      </c>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v>0</v>
      </c>
      <c r="G104" s="23" t="s">
        <v>288</v>
      </c>
      <c r="H104" s="18">
        <v>0</v>
      </c>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v>0</v>
      </c>
      <c r="G105" s="18">
        <v>0</v>
      </c>
      <c r="H105" s="18">
        <v>0</v>
      </c>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v>0</v>
      </c>
      <c r="G106" s="18">
        <v>0</v>
      </c>
      <c r="H106" s="18">
        <v>0</v>
      </c>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v>0</v>
      </c>
      <c r="G107" s="18">
        <v>0</v>
      </c>
      <c r="H107" s="18">
        <v>0</v>
      </c>
      <c r="I107" s="18">
        <v>0</v>
      </c>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v>0</v>
      </c>
      <c r="G108" s="18">
        <v>0</v>
      </c>
      <c r="H108" s="18">
        <v>0</v>
      </c>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2989.08</v>
      </c>
      <c r="G109" s="18">
        <v>0</v>
      </c>
      <c r="H109" s="18">
        <v>0</v>
      </c>
      <c r="I109" s="18">
        <v>0</v>
      </c>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52146.3</v>
      </c>
      <c r="G110" s="18">
        <v>0</v>
      </c>
      <c r="H110" s="18">
        <v>0</v>
      </c>
      <c r="I110" s="18">
        <v>0</v>
      </c>
      <c r="J110" s="18">
        <v>0</v>
      </c>
      <c r="K110" s="23" t="s">
        <v>288</v>
      </c>
      <c r="L110" s="23" t="s">
        <v>288</v>
      </c>
      <c r="M110" s="8"/>
      <c r="N110" s="164"/>
    </row>
    <row r="111" spans="1:14" ht="12.2" customHeight="1" thickTop="1" thickBot="1" x14ac:dyDescent="0.25">
      <c r="A111" s="35" t="s">
        <v>433</v>
      </c>
      <c r="B111" s="36" t="s">
        <v>315</v>
      </c>
      <c r="C111" s="37">
        <v>25</v>
      </c>
      <c r="D111" s="36" t="s">
        <v>430</v>
      </c>
      <c r="E111" s="37"/>
      <c r="F111" s="38">
        <f>SUM(F96:F110)</f>
        <v>88333.860000000015</v>
      </c>
      <c r="G111" s="38">
        <f>SUM(G96:G110)</f>
        <v>286664.59000000003</v>
      </c>
      <c r="H111" s="38">
        <f>SUM(H96:H110)</f>
        <v>0</v>
      </c>
      <c r="I111" s="38">
        <f>SUM(I96:I110)</f>
        <v>0</v>
      </c>
      <c r="J111" s="38">
        <f>SUM(J96:J110)</f>
        <v>1024.02</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9965589.8599999994</v>
      </c>
      <c r="G112" s="38">
        <f>G60+G111</f>
        <v>286664.59000000003</v>
      </c>
      <c r="H112" s="38">
        <f>H60+H79+H94+H111</f>
        <v>0</v>
      </c>
      <c r="I112" s="38">
        <f>I60+I111</f>
        <v>0</v>
      </c>
      <c r="J112" s="38">
        <f>J60+J111</f>
        <v>1024.02</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5307918.63</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1225522</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4568.95</v>
      </c>
      <c r="G120" s="18">
        <v>0</v>
      </c>
      <c r="H120" s="18">
        <v>0</v>
      </c>
      <c r="I120" s="18">
        <v>0</v>
      </c>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6538009.5800000001</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369683.6</v>
      </c>
      <c r="G123" s="23" t="s">
        <v>288</v>
      </c>
      <c r="H123" s="23" t="s">
        <v>288</v>
      </c>
      <c r="I123" s="18">
        <v>0</v>
      </c>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v>0</v>
      </c>
      <c r="G124" s="23" t="s">
        <v>288</v>
      </c>
      <c r="H124" s="23" t="s">
        <v>288</v>
      </c>
      <c r="I124" s="18">
        <v>0</v>
      </c>
      <c r="J124" s="23"/>
      <c r="K124" s="23"/>
      <c r="L124" s="23"/>
      <c r="M124" s="8"/>
      <c r="N124" s="164"/>
    </row>
    <row r="125" spans="1:14" s="3" customFormat="1" ht="12.2" customHeight="1" x14ac:dyDescent="0.15">
      <c r="A125" s="1" t="s">
        <v>892</v>
      </c>
      <c r="B125" s="2" t="s">
        <v>321</v>
      </c>
      <c r="C125" s="6">
        <v>8</v>
      </c>
      <c r="D125" s="2" t="s">
        <v>430</v>
      </c>
      <c r="E125" s="6">
        <v>3220</v>
      </c>
      <c r="F125" s="18">
        <v>0</v>
      </c>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7212.49</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0</v>
      </c>
      <c r="G127" s="23" t="s">
        <v>288</v>
      </c>
      <c r="H127" s="18">
        <v>0</v>
      </c>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0</v>
      </c>
      <c r="G128" s="23" t="s">
        <v>288</v>
      </c>
      <c r="H128" s="18">
        <v>0</v>
      </c>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v>0</v>
      </c>
      <c r="G129" s="23" t="s">
        <v>288</v>
      </c>
      <c r="H129" s="18">
        <v>0</v>
      </c>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v>0</v>
      </c>
      <c r="G130" s="23" t="s">
        <v>288</v>
      </c>
      <c r="H130" s="18">
        <v>0</v>
      </c>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v>0</v>
      </c>
      <c r="G131" s="23" t="s">
        <v>288</v>
      </c>
      <c r="H131" s="18">
        <v>0</v>
      </c>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6481.04</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v>0</v>
      </c>
      <c r="G133" s="23" t="s">
        <v>288</v>
      </c>
      <c r="H133" s="18">
        <v>0</v>
      </c>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v>0</v>
      </c>
      <c r="I134" s="23"/>
      <c r="J134" s="23"/>
      <c r="K134" s="23"/>
      <c r="L134" s="23"/>
      <c r="M134" s="8"/>
      <c r="N134" s="164"/>
    </row>
    <row r="135" spans="1:14" s="3" customFormat="1" ht="12.2" customHeight="1" thickBot="1" x14ac:dyDescent="0.2">
      <c r="A135" s="1" t="s">
        <v>501</v>
      </c>
      <c r="B135" s="2" t="s">
        <v>321</v>
      </c>
      <c r="C135" s="6">
        <v>18</v>
      </c>
      <c r="D135" s="2" t="s">
        <v>430</v>
      </c>
      <c r="E135" s="6">
        <v>3290</v>
      </c>
      <c r="F135" s="18">
        <v>0</v>
      </c>
      <c r="G135" s="18">
        <v>0</v>
      </c>
      <c r="H135" s="18">
        <v>0</v>
      </c>
      <c r="I135" s="18">
        <v>0</v>
      </c>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376896.08999999997</v>
      </c>
      <c r="G136" s="38">
        <f>SUM(G123:G135)</f>
        <v>6481.04</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v>0</v>
      </c>
      <c r="G137" s="18">
        <v>0</v>
      </c>
      <c r="H137" s="18">
        <v>0</v>
      </c>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v>0</v>
      </c>
      <c r="G138" s="23" t="s">
        <v>288</v>
      </c>
      <c r="H138" s="18">
        <v>0</v>
      </c>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6914905.6699999999</v>
      </c>
      <c r="G140" s="38">
        <f>G121+SUM(G136:G137)</f>
        <v>6481.04</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v>0</v>
      </c>
      <c r="G145" s="18">
        <v>0</v>
      </c>
      <c r="H145" s="18">
        <v>0</v>
      </c>
      <c r="I145" s="18">
        <v>0</v>
      </c>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v>0</v>
      </c>
      <c r="G146" s="18">
        <v>0</v>
      </c>
      <c r="H146" s="18">
        <v>0</v>
      </c>
      <c r="I146" s="18">
        <v>0</v>
      </c>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v>0</v>
      </c>
      <c r="G150" s="23" t="s">
        <v>288</v>
      </c>
      <c r="H150" s="18">
        <v>0</v>
      </c>
      <c r="I150" s="18">
        <v>0</v>
      </c>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v>0</v>
      </c>
      <c r="G151" s="23" t="s">
        <v>288</v>
      </c>
      <c r="H151" s="18">
        <v>0</v>
      </c>
      <c r="I151" s="18">
        <v>0</v>
      </c>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v>0</v>
      </c>
      <c r="G152" s="23" t="s">
        <v>288</v>
      </c>
      <c r="H152" s="18">
        <v>0</v>
      </c>
      <c r="I152" s="18">
        <v>0</v>
      </c>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88648.61</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94764.35</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v>0</v>
      </c>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v>0</v>
      </c>
      <c r="G157" s="23" t="s">
        <v>288</v>
      </c>
      <c r="H157" s="18">
        <v>0</v>
      </c>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137457.51999999999</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229251.4</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36108.800000000003</v>
      </c>
      <c r="G160" s="23" t="s">
        <v>288</v>
      </c>
      <c r="H160" s="18">
        <v>0</v>
      </c>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v>0</v>
      </c>
      <c r="G161" s="18">
        <v>0</v>
      </c>
      <c r="H161" s="18">
        <v>75264.56</v>
      </c>
      <c r="I161" s="18">
        <v>0</v>
      </c>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v>0</v>
      </c>
      <c r="G162" s="18"/>
      <c r="H162" s="18">
        <v>399074.34</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36108.800000000003</v>
      </c>
      <c r="G163" s="38">
        <f>SUM(G150:G162)</f>
        <v>137457.51999999999</v>
      </c>
      <c r="H163" s="38">
        <f>SUM(H150:H162)</f>
        <v>887003.26</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v>0</v>
      </c>
      <c r="G164" s="18">
        <v>0</v>
      </c>
      <c r="H164" s="18">
        <v>0</v>
      </c>
      <c r="I164" s="18">
        <v>0</v>
      </c>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v>0</v>
      </c>
      <c r="G169" s="18">
        <v>0</v>
      </c>
      <c r="H169" s="18">
        <v>0</v>
      </c>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36108.800000000003</v>
      </c>
      <c r="G170" s="38">
        <f>G147+G163+SUM(G164:G169)</f>
        <v>137457.51999999999</v>
      </c>
      <c r="H170" s="38">
        <f>H147+H163+SUM(H164:H169)</f>
        <v>887003.26</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v>0</v>
      </c>
      <c r="G174" s="23" t="s">
        <v>288</v>
      </c>
      <c r="H174" s="23" t="s">
        <v>288</v>
      </c>
      <c r="I174" s="18">
        <v>0</v>
      </c>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v>0</v>
      </c>
      <c r="G175" s="23" t="s">
        <v>288</v>
      </c>
      <c r="H175" s="23" t="s">
        <v>288</v>
      </c>
      <c r="I175" s="18">
        <v>0</v>
      </c>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v>0</v>
      </c>
      <c r="G176" s="23" t="s">
        <v>288</v>
      </c>
      <c r="H176" s="23" t="s">
        <v>288</v>
      </c>
      <c r="I176" s="18">
        <v>0</v>
      </c>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v>0</v>
      </c>
      <c r="G177" s="23" t="s">
        <v>288</v>
      </c>
      <c r="H177" s="23" t="s">
        <v>288</v>
      </c>
      <c r="I177" s="18">
        <v>0</v>
      </c>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0</v>
      </c>
      <c r="H180" s="18">
        <v>0</v>
      </c>
      <c r="I180" s="18">
        <v>0</v>
      </c>
      <c r="J180" s="18">
        <v>0</v>
      </c>
      <c r="K180" s="23" t="s">
        <v>288</v>
      </c>
      <c r="L180" s="23" t="s">
        <v>288</v>
      </c>
      <c r="M180" s="8"/>
      <c r="N180" s="164"/>
    </row>
    <row r="181" spans="1:14" s="3" customFormat="1" ht="12.2" customHeight="1" x14ac:dyDescent="0.15">
      <c r="A181" s="1" t="s">
        <v>525</v>
      </c>
      <c r="B181" s="2" t="s">
        <v>330</v>
      </c>
      <c r="C181" s="6">
        <v>7</v>
      </c>
      <c r="D181" s="2" t="s">
        <v>430</v>
      </c>
      <c r="E181" s="6">
        <v>5221</v>
      </c>
      <c r="F181" s="18">
        <v>0</v>
      </c>
      <c r="G181" s="23" t="s">
        <v>288</v>
      </c>
      <c r="H181" s="18">
        <v>0</v>
      </c>
      <c r="I181" s="18">
        <v>0</v>
      </c>
      <c r="J181" s="18"/>
      <c r="K181" s="23" t="s">
        <v>288</v>
      </c>
      <c r="L181" s="23" t="s">
        <v>288</v>
      </c>
      <c r="M181" s="8"/>
      <c r="N181" s="164"/>
    </row>
    <row r="182" spans="1:14" s="3" customFormat="1" ht="12.2" customHeight="1" x14ac:dyDescent="0.15">
      <c r="A182" s="3" t="s">
        <v>526</v>
      </c>
      <c r="B182" s="2" t="s">
        <v>330</v>
      </c>
      <c r="C182" s="6">
        <v>8</v>
      </c>
      <c r="D182" s="2" t="s">
        <v>430</v>
      </c>
      <c r="E182" s="6">
        <v>5222</v>
      </c>
      <c r="F182" s="18">
        <v>0</v>
      </c>
      <c r="G182" s="18">
        <v>0</v>
      </c>
      <c r="H182" s="23" t="s">
        <v>288</v>
      </c>
      <c r="I182" s="18">
        <v>0</v>
      </c>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v>0</v>
      </c>
      <c r="G183" s="18">
        <v>0</v>
      </c>
      <c r="H183" s="18">
        <v>0</v>
      </c>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v>0</v>
      </c>
      <c r="G186" s="18">
        <v>0</v>
      </c>
      <c r="H186" s="18">
        <v>0</v>
      </c>
      <c r="I186" s="18">
        <v>0</v>
      </c>
      <c r="J186" s="23" t="s">
        <v>288</v>
      </c>
      <c r="K186" s="23" t="s">
        <v>288</v>
      </c>
      <c r="L186" s="23" t="s">
        <v>288</v>
      </c>
      <c r="M186" s="8"/>
      <c r="N186" s="164"/>
    </row>
    <row r="187" spans="1:14" ht="12.2" customHeight="1" x14ac:dyDescent="0.2">
      <c r="A187" s="1" t="s">
        <v>529</v>
      </c>
      <c r="B187" s="2" t="s">
        <v>330</v>
      </c>
      <c r="C187" s="6">
        <v>12</v>
      </c>
      <c r="D187" s="2" t="s">
        <v>430</v>
      </c>
      <c r="E187" s="6">
        <v>5252</v>
      </c>
      <c r="F187" s="18">
        <v>0</v>
      </c>
      <c r="G187" s="18">
        <v>0</v>
      </c>
      <c r="H187" s="18">
        <v>0</v>
      </c>
      <c r="I187" s="18">
        <v>0</v>
      </c>
      <c r="J187" s="23" t="s">
        <v>288</v>
      </c>
      <c r="K187" s="23" t="s">
        <v>288</v>
      </c>
      <c r="L187" s="23" t="s">
        <v>288</v>
      </c>
      <c r="N187" s="130"/>
    </row>
    <row r="188" spans="1:14" ht="12.2" customHeight="1" thickBot="1" x14ac:dyDescent="0.25">
      <c r="A188" s="1" t="s">
        <v>530</v>
      </c>
      <c r="B188" s="2" t="s">
        <v>330</v>
      </c>
      <c r="C188" s="6">
        <v>13</v>
      </c>
      <c r="D188" s="2" t="s">
        <v>430</v>
      </c>
      <c r="E188" s="6">
        <v>5253</v>
      </c>
      <c r="F188" s="18">
        <v>0</v>
      </c>
      <c r="G188" s="18">
        <v>0</v>
      </c>
      <c r="H188" s="18">
        <v>0</v>
      </c>
      <c r="I188" s="18">
        <v>0</v>
      </c>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v>0</v>
      </c>
      <c r="G190" s="18">
        <v>0</v>
      </c>
      <c r="H190" s="18">
        <v>0</v>
      </c>
      <c r="I190" s="18">
        <v>0</v>
      </c>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v>0</v>
      </c>
      <c r="G191" s="18">
        <v>0</v>
      </c>
      <c r="H191" s="18">
        <v>0</v>
      </c>
      <c r="I191" s="18">
        <v>0</v>
      </c>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v>0</v>
      </c>
      <c r="G192" s="18">
        <v>0</v>
      </c>
      <c r="H192" s="18">
        <v>0</v>
      </c>
      <c r="I192" s="18">
        <v>0</v>
      </c>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16916604.330000002</v>
      </c>
      <c r="G194" s="38">
        <f>G112+G140+G170+G193</f>
        <v>430603.15</v>
      </c>
      <c r="H194" s="38">
        <f>H112+H140+H170+H193</f>
        <v>887003.26</v>
      </c>
      <c r="I194" s="38">
        <f>I112+I140+I170+I193</f>
        <v>0</v>
      </c>
      <c r="J194" s="38">
        <f>J112+J140+J193</f>
        <v>1024.02</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1806397.51</v>
      </c>
      <c r="G198" s="18">
        <v>874699.58</v>
      </c>
      <c r="H198" s="18">
        <v>58649.15</v>
      </c>
      <c r="I198" s="18">
        <v>97738.09</v>
      </c>
      <c r="J198" s="18">
        <v>23579.1</v>
      </c>
      <c r="K198" s="18">
        <v>460</v>
      </c>
      <c r="L198" s="13">
        <f>SUM(F198:K198)</f>
        <v>2861523.4299999997</v>
      </c>
      <c r="M198" s="8"/>
      <c r="N198" s="164"/>
    </row>
    <row r="199" spans="1:14" s="3" customFormat="1" ht="12.2" customHeight="1" x14ac:dyDescent="0.15">
      <c r="A199" s="1" t="s">
        <v>439</v>
      </c>
      <c r="B199" s="2" t="s">
        <v>341</v>
      </c>
      <c r="C199" s="2" t="s">
        <v>291</v>
      </c>
      <c r="D199" s="2" t="s">
        <v>431</v>
      </c>
      <c r="E199" s="6">
        <v>1200</v>
      </c>
      <c r="F199" s="18">
        <v>767686.79</v>
      </c>
      <c r="G199" s="18">
        <v>253333.7</v>
      </c>
      <c r="H199" s="18">
        <v>530039.42000000004</v>
      </c>
      <c r="I199" s="18">
        <v>10291.69</v>
      </c>
      <c r="J199" s="18">
        <v>0</v>
      </c>
      <c r="K199" s="18">
        <v>2263.62</v>
      </c>
      <c r="L199" s="13">
        <f>SUM(F199:K199)</f>
        <v>1563615.2200000002</v>
      </c>
      <c r="M199" s="8"/>
      <c r="N199" s="1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4"/>
    </row>
    <row r="201" spans="1:14" s="3" customFormat="1" ht="12.2" customHeight="1" x14ac:dyDescent="0.15">
      <c r="A201" s="1" t="s">
        <v>441</v>
      </c>
      <c r="B201" s="2" t="s">
        <v>341</v>
      </c>
      <c r="C201" s="2" t="s">
        <v>293</v>
      </c>
      <c r="D201" s="2" t="s">
        <v>431</v>
      </c>
      <c r="E201" s="6">
        <v>1400</v>
      </c>
      <c r="F201" s="18">
        <v>23654.1</v>
      </c>
      <c r="G201" s="18">
        <v>6431.26</v>
      </c>
      <c r="H201" s="18">
        <v>0</v>
      </c>
      <c r="I201" s="18">
        <v>0</v>
      </c>
      <c r="J201" s="18">
        <v>0</v>
      </c>
      <c r="K201" s="18">
        <v>0</v>
      </c>
      <c r="L201" s="13">
        <f>SUM(F201:K201)</f>
        <v>30085.360000000001</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249843.1</v>
      </c>
      <c r="G203" s="18">
        <v>178244.42</v>
      </c>
      <c r="H203" s="18">
        <v>255331.43</v>
      </c>
      <c r="I203" s="18">
        <v>7233.64</v>
      </c>
      <c r="J203" s="18">
        <v>2458.6</v>
      </c>
      <c r="K203" s="18">
        <v>0</v>
      </c>
      <c r="L203" s="13">
        <f t="shared" ref="L203:L209" si="0">SUM(F203:K203)</f>
        <v>693111.19</v>
      </c>
      <c r="M203" s="8"/>
      <c r="N203" s="164"/>
    </row>
    <row r="204" spans="1:14" s="3" customFormat="1" ht="12.2" customHeight="1" x14ac:dyDescent="0.15">
      <c r="A204" s="1" t="s">
        <v>443</v>
      </c>
      <c r="B204" s="2" t="s">
        <v>341</v>
      </c>
      <c r="C204" s="2" t="s">
        <v>295</v>
      </c>
      <c r="D204" s="2" t="s">
        <v>431</v>
      </c>
      <c r="E204" s="6">
        <v>2200</v>
      </c>
      <c r="F204" s="18">
        <v>62293.34</v>
      </c>
      <c r="G204" s="18">
        <v>61538.54</v>
      </c>
      <c r="H204" s="18">
        <v>82972.14</v>
      </c>
      <c r="I204" s="18">
        <v>6946.89</v>
      </c>
      <c r="J204" s="18">
        <v>55928</v>
      </c>
      <c r="K204" s="18">
        <v>48253.82</v>
      </c>
      <c r="L204" s="13">
        <f t="shared" si="0"/>
        <v>317932.73000000004</v>
      </c>
      <c r="M204" s="8"/>
      <c r="N204" s="164"/>
    </row>
    <row r="205" spans="1:14" s="3" customFormat="1" ht="12.2" customHeight="1" x14ac:dyDescent="0.15">
      <c r="A205" s="1" t="s">
        <v>444</v>
      </c>
      <c r="B205" s="2" t="s">
        <v>341</v>
      </c>
      <c r="C205" s="2" t="s">
        <v>296</v>
      </c>
      <c r="D205" s="2" t="s">
        <v>431</v>
      </c>
      <c r="E205" s="6">
        <v>2300</v>
      </c>
      <c r="F205" s="18">
        <v>4050</v>
      </c>
      <c r="G205" s="18">
        <v>16799.36</v>
      </c>
      <c r="H205" s="18">
        <v>410662.52</v>
      </c>
      <c r="I205" s="18">
        <v>405.68</v>
      </c>
      <c r="J205" s="18">
        <v>0</v>
      </c>
      <c r="K205" s="18">
        <v>8691.2999999999993</v>
      </c>
      <c r="L205" s="13">
        <f t="shared" si="0"/>
        <v>440608.86</v>
      </c>
      <c r="M205" s="8"/>
      <c r="N205" s="164"/>
    </row>
    <row r="206" spans="1:14" s="3" customFormat="1" ht="12.2" customHeight="1" x14ac:dyDescent="0.15">
      <c r="A206" s="1" t="s">
        <v>445</v>
      </c>
      <c r="B206" s="2" t="s">
        <v>341</v>
      </c>
      <c r="C206" s="2" t="s">
        <v>297</v>
      </c>
      <c r="D206" s="2" t="s">
        <v>431</v>
      </c>
      <c r="E206" s="6">
        <v>2400</v>
      </c>
      <c r="F206" s="18">
        <v>350608</v>
      </c>
      <c r="G206" s="18">
        <v>164577.35999999999</v>
      </c>
      <c r="H206" s="18">
        <v>24692.880000000001</v>
      </c>
      <c r="I206" s="18">
        <v>4345.24</v>
      </c>
      <c r="J206" s="18">
        <v>0</v>
      </c>
      <c r="K206" s="18">
        <v>673.4</v>
      </c>
      <c r="L206" s="13">
        <f t="shared" si="0"/>
        <v>544896.88</v>
      </c>
      <c r="M206" s="8"/>
      <c r="N206" s="1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4"/>
    </row>
    <row r="208" spans="1:14" s="3" customFormat="1" ht="12.2" customHeight="1" x14ac:dyDescent="0.15">
      <c r="A208" s="1" t="s">
        <v>447</v>
      </c>
      <c r="B208" s="2" t="s">
        <v>341</v>
      </c>
      <c r="C208" s="2" t="s">
        <v>299</v>
      </c>
      <c r="D208" s="2" t="s">
        <v>431</v>
      </c>
      <c r="E208" s="6">
        <v>2600</v>
      </c>
      <c r="F208" s="18">
        <v>157522.88</v>
      </c>
      <c r="G208" s="18">
        <v>52375.77</v>
      </c>
      <c r="H208" s="18">
        <v>180412.72</v>
      </c>
      <c r="I208" s="18">
        <v>78455.649999999994</v>
      </c>
      <c r="J208" s="18">
        <v>0</v>
      </c>
      <c r="K208" s="18">
        <v>0</v>
      </c>
      <c r="L208" s="13">
        <f t="shared" si="0"/>
        <v>468767.02</v>
      </c>
      <c r="M208" s="8"/>
      <c r="N208" s="164"/>
    </row>
    <row r="209" spans="1:14" s="3" customFormat="1" ht="12.2" customHeight="1" x14ac:dyDescent="0.15">
      <c r="A209" s="1" t="s">
        <v>448</v>
      </c>
      <c r="B209" s="2" t="s">
        <v>341</v>
      </c>
      <c r="C209" s="2" t="s">
        <v>300</v>
      </c>
      <c r="D209" s="2" t="s">
        <v>431</v>
      </c>
      <c r="E209" s="6">
        <v>2700</v>
      </c>
      <c r="F209" s="18">
        <v>0</v>
      </c>
      <c r="G209" s="18">
        <v>0</v>
      </c>
      <c r="H209" s="18">
        <v>518377.27</v>
      </c>
      <c r="I209" s="18">
        <v>0</v>
      </c>
      <c r="J209" s="18">
        <v>0</v>
      </c>
      <c r="K209" s="18">
        <v>0</v>
      </c>
      <c r="L209" s="13">
        <f t="shared" si="0"/>
        <v>518377.27</v>
      </c>
      <c r="M209" s="8"/>
      <c r="N209" s="164"/>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3422055.7199999997</v>
      </c>
      <c r="G212" s="38">
        <f t="shared" si="1"/>
        <v>1607999.9900000002</v>
      </c>
      <c r="H212" s="38">
        <f t="shared" si="1"/>
        <v>2061137.53</v>
      </c>
      <c r="I212" s="38">
        <f t="shared" si="1"/>
        <v>205416.88</v>
      </c>
      <c r="J212" s="38">
        <f t="shared" si="1"/>
        <v>81965.7</v>
      </c>
      <c r="K212" s="38">
        <f t="shared" si="1"/>
        <v>60342.140000000007</v>
      </c>
      <c r="L212" s="38">
        <f t="shared" si="1"/>
        <v>7438917.9600000009</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v>2215145.04</v>
      </c>
      <c r="G216" s="18">
        <v>1136052.95</v>
      </c>
      <c r="H216" s="18">
        <v>37172.29</v>
      </c>
      <c r="I216" s="18">
        <v>149605.79999999999</v>
      </c>
      <c r="J216" s="18">
        <v>12721.46</v>
      </c>
      <c r="K216" s="18">
        <v>560</v>
      </c>
      <c r="L216" s="13">
        <f>SUM(F216:K216)</f>
        <v>3551257.54</v>
      </c>
      <c r="M216" s="8"/>
      <c r="N216" s="164"/>
    </row>
    <row r="217" spans="1:14" s="3" customFormat="1" ht="12.2" customHeight="1" x14ac:dyDescent="0.15">
      <c r="A217" s="1" t="s">
        <v>439</v>
      </c>
      <c r="B217" s="2" t="s">
        <v>346</v>
      </c>
      <c r="C217" s="2" t="s">
        <v>291</v>
      </c>
      <c r="D217" s="2" t="s">
        <v>431</v>
      </c>
      <c r="E217" s="6">
        <v>1200</v>
      </c>
      <c r="F217" s="18">
        <v>921276.28</v>
      </c>
      <c r="G217" s="18">
        <v>293161.19</v>
      </c>
      <c r="H217" s="18">
        <v>332063.68</v>
      </c>
      <c r="I217" s="18">
        <v>2896.02</v>
      </c>
      <c r="J217" s="18">
        <v>525.20000000000005</v>
      </c>
      <c r="K217" s="18">
        <v>3256.87</v>
      </c>
      <c r="L217" s="13">
        <f>SUM(F217:K217)</f>
        <v>1553179.24</v>
      </c>
      <c r="M217" s="8"/>
      <c r="N217" s="164"/>
    </row>
    <row r="218" spans="1:14" s="3" customFormat="1" ht="12.2" customHeight="1" x14ac:dyDescent="0.15">
      <c r="A218" s="1" t="s">
        <v>440</v>
      </c>
      <c r="B218" s="2" t="s">
        <v>346</v>
      </c>
      <c r="C218" s="2" t="s">
        <v>292</v>
      </c>
      <c r="D218" s="2" t="s">
        <v>431</v>
      </c>
      <c r="E218" s="6">
        <v>1300</v>
      </c>
      <c r="F218" s="18">
        <v>0</v>
      </c>
      <c r="G218" s="18">
        <v>0</v>
      </c>
      <c r="H218" s="18">
        <v>145297.22</v>
      </c>
      <c r="I218" s="18">
        <v>0</v>
      </c>
      <c r="J218" s="18">
        <v>0</v>
      </c>
      <c r="K218" s="18">
        <v>0</v>
      </c>
      <c r="L218" s="13">
        <f>SUM(F218:K218)</f>
        <v>145297.22</v>
      </c>
      <c r="M218" s="8"/>
      <c r="N218" s="164"/>
    </row>
    <row r="219" spans="1:14" s="3" customFormat="1" ht="12.2" customHeight="1" x14ac:dyDescent="0.15">
      <c r="A219" s="1" t="s">
        <v>441</v>
      </c>
      <c r="B219" s="2" t="s">
        <v>346</v>
      </c>
      <c r="C219" s="2" t="s">
        <v>293</v>
      </c>
      <c r="D219" s="2" t="s">
        <v>431</v>
      </c>
      <c r="E219" s="6">
        <v>1400</v>
      </c>
      <c r="F219" s="18">
        <v>49866.97</v>
      </c>
      <c r="G219" s="18">
        <v>10566.08</v>
      </c>
      <c r="H219" s="18">
        <v>7052.67</v>
      </c>
      <c r="I219" s="18">
        <v>5663.07</v>
      </c>
      <c r="J219" s="18">
        <v>0</v>
      </c>
      <c r="K219" s="18">
        <v>1022.78</v>
      </c>
      <c r="L219" s="13">
        <f>SUM(F219:K219)</f>
        <v>74171.570000000007</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305329.43</v>
      </c>
      <c r="G221" s="18">
        <v>205699.95</v>
      </c>
      <c r="H221" s="18">
        <v>111720.78</v>
      </c>
      <c r="I221" s="18">
        <v>7087.12</v>
      </c>
      <c r="J221" s="18">
        <v>0</v>
      </c>
      <c r="K221" s="18">
        <v>0</v>
      </c>
      <c r="L221" s="13">
        <f t="shared" ref="L221:L227" si="2">SUM(F221:K221)</f>
        <v>629837.28</v>
      </c>
      <c r="M221" s="8"/>
      <c r="N221" s="164"/>
    </row>
    <row r="222" spans="1:14" s="3" customFormat="1" ht="12.2" customHeight="1" x14ac:dyDescent="0.15">
      <c r="A222" s="1" t="s">
        <v>443</v>
      </c>
      <c r="B222" s="2" t="s">
        <v>346</v>
      </c>
      <c r="C222" s="2" t="s">
        <v>295</v>
      </c>
      <c r="D222" s="2" t="s">
        <v>431</v>
      </c>
      <c r="E222" s="6">
        <v>2200</v>
      </c>
      <c r="F222" s="18">
        <v>63553.14</v>
      </c>
      <c r="G222" s="18">
        <v>64004.44</v>
      </c>
      <c r="H222" s="18">
        <v>108958.95</v>
      </c>
      <c r="I222" s="18">
        <v>13477.56</v>
      </c>
      <c r="J222" s="18">
        <v>80174.8</v>
      </c>
      <c r="K222" s="18">
        <v>67487.83</v>
      </c>
      <c r="L222" s="13">
        <f t="shared" si="2"/>
        <v>397656.72000000003</v>
      </c>
      <c r="M222" s="8"/>
      <c r="N222" s="164"/>
    </row>
    <row r="223" spans="1:14" s="3" customFormat="1" ht="12.2" customHeight="1" x14ac:dyDescent="0.15">
      <c r="A223" s="1" t="s">
        <v>444</v>
      </c>
      <c r="B223" s="2" t="s">
        <v>346</v>
      </c>
      <c r="C223" s="2" t="s">
        <v>296</v>
      </c>
      <c r="D223" s="2" t="s">
        <v>431</v>
      </c>
      <c r="E223" s="6">
        <v>2300</v>
      </c>
      <c r="F223" s="18">
        <v>5050</v>
      </c>
      <c r="G223" s="18">
        <v>16875.810000000001</v>
      </c>
      <c r="H223" s="18">
        <v>278054.58</v>
      </c>
      <c r="I223" s="18">
        <v>146.6</v>
      </c>
      <c r="J223" s="18">
        <v>0</v>
      </c>
      <c r="K223" s="18">
        <v>15161.22</v>
      </c>
      <c r="L223" s="13">
        <f t="shared" si="2"/>
        <v>315288.20999999996</v>
      </c>
      <c r="M223" s="8"/>
      <c r="N223" s="164"/>
    </row>
    <row r="224" spans="1:14" s="3" customFormat="1" ht="12.2" customHeight="1" x14ac:dyDescent="0.15">
      <c r="A224" s="1" t="s">
        <v>445</v>
      </c>
      <c r="B224" s="2" t="s">
        <v>346</v>
      </c>
      <c r="C224" s="2" t="s">
        <v>297</v>
      </c>
      <c r="D224" s="2" t="s">
        <v>431</v>
      </c>
      <c r="E224" s="6">
        <v>2400</v>
      </c>
      <c r="F224" s="18">
        <v>412872.01</v>
      </c>
      <c r="G224" s="18">
        <v>198991.46</v>
      </c>
      <c r="H224" s="18">
        <v>23208.639999999999</v>
      </c>
      <c r="I224" s="18">
        <v>2989.43</v>
      </c>
      <c r="J224" s="18">
        <v>0</v>
      </c>
      <c r="K224" s="18">
        <v>1329</v>
      </c>
      <c r="L224" s="13">
        <f t="shared" si="2"/>
        <v>639390.54</v>
      </c>
      <c r="M224" s="8"/>
      <c r="N224" s="164"/>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3">
        <f t="shared" si="2"/>
        <v>0</v>
      </c>
      <c r="M225" s="8"/>
      <c r="N225" s="164"/>
    </row>
    <row r="226" spans="1:14" s="3" customFormat="1" ht="12.2" customHeight="1" x14ac:dyDescent="0.15">
      <c r="A226" s="1" t="s">
        <v>447</v>
      </c>
      <c r="B226" s="2" t="s">
        <v>346</v>
      </c>
      <c r="C226" s="2" t="s">
        <v>299</v>
      </c>
      <c r="D226" s="2" t="s">
        <v>431</v>
      </c>
      <c r="E226" s="6">
        <v>2600</v>
      </c>
      <c r="F226" s="18">
        <v>259132.08</v>
      </c>
      <c r="G226" s="18">
        <v>68814.81</v>
      </c>
      <c r="H226" s="18">
        <v>282004.14</v>
      </c>
      <c r="I226" s="18">
        <v>152876.26</v>
      </c>
      <c r="J226" s="18">
        <v>2228.0300000000002</v>
      </c>
      <c r="K226" s="18">
        <v>0</v>
      </c>
      <c r="L226" s="13">
        <f t="shared" si="2"/>
        <v>765055.32000000007</v>
      </c>
      <c r="M226" s="8"/>
      <c r="N226" s="164"/>
    </row>
    <row r="227" spans="1:14" s="3" customFormat="1" ht="12.2" customHeight="1" x14ac:dyDescent="0.15">
      <c r="A227" s="1" t="s">
        <v>448</v>
      </c>
      <c r="B227" s="2" t="s">
        <v>346</v>
      </c>
      <c r="C227" s="2" t="s">
        <v>300</v>
      </c>
      <c r="D227" s="2" t="s">
        <v>431</v>
      </c>
      <c r="E227" s="6">
        <v>2700</v>
      </c>
      <c r="F227" s="18">
        <v>0</v>
      </c>
      <c r="G227" s="18">
        <v>0</v>
      </c>
      <c r="H227" s="18">
        <v>572257.27</v>
      </c>
      <c r="I227" s="18">
        <v>0</v>
      </c>
      <c r="J227" s="18">
        <v>0</v>
      </c>
      <c r="K227" s="18">
        <v>0</v>
      </c>
      <c r="L227" s="13">
        <f t="shared" si="2"/>
        <v>572257.27</v>
      </c>
      <c r="M227" s="8"/>
      <c r="N227" s="164"/>
    </row>
    <row r="228" spans="1:14" s="3" customFormat="1" ht="12.2" customHeight="1" x14ac:dyDescent="0.15">
      <c r="A228" s="1" t="s">
        <v>449</v>
      </c>
      <c r="B228" s="2" t="s">
        <v>346</v>
      </c>
      <c r="C228" s="2" t="s">
        <v>343</v>
      </c>
      <c r="D228" s="2" t="s">
        <v>431</v>
      </c>
      <c r="E228" s="6">
        <v>2800</v>
      </c>
      <c r="F228" s="18">
        <v>0</v>
      </c>
      <c r="G228" s="18"/>
      <c r="H228" s="18">
        <v>0</v>
      </c>
      <c r="I228" s="18">
        <v>0</v>
      </c>
      <c r="J228" s="18">
        <v>0</v>
      </c>
      <c r="K228" s="18">
        <v>0</v>
      </c>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4232224.9500000011</v>
      </c>
      <c r="G230" s="38">
        <f>SUM(G216:G229)</f>
        <v>1994166.69</v>
      </c>
      <c r="H230" s="38">
        <f>SUM(H216:H229)</f>
        <v>1897790.22</v>
      </c>
      <c r="I230" s="38">
        <f>SUM(I216:I229)</f>
        <v>334741.86</v>
      </c>
      <c r="J230" s="38">
        <f>SUM(J216:J229)</f>
        <v>95649.49</v>
      </c>
      <c r="K230" s="38">
        <f t="shared" si="3"/>
        <v>88817.7</v>
      </c>
      <c r="L230" s="38">
        <f t="shared" si="3"/>
        <v>8643390.9100000001</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4"/>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v>0</v>
      </c>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7654280.6700000009</v>
      </c>
      <c r="G258" s="38">
        <f t="shared" si="8"/>
        <v>3602166.68</v>
      </c>
      <c r="H258" s="38">
        <f t="shared" si="8"/>
        <v>3958927.75</v>
      </c>
      <c r="I258" s="38">
        <f t="shared" si="8"/>
        <v>540158.74</v>
      </c>
      <c r="J258" s="38">
        <f t="shared" si="8"/>
        <v>177615.19</v>
      </c>
      <c r="K258" s="38">
        <f t="shared" si="8"/>
        <v>149159.84</v>
      </c>
      <c r="L258" s="38">
        <f t="shared" si="8"/>
        <v>16082308.870000001</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947809</v>
      </c>
      <c r="L261" s="13">
        <f>SUM(F261:K261)</f>
        <v>947809</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64085.91</v>
      </c>
      <c r="L262" s="13">
        <f>SUM(F262:K262)</f>
        <v>64085.91</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1011894.91</v>
      </c>
      <c r="L271" s="38">
        <f t="shared" si="9"/>
        <v>1011894.91</v>
      </c>
      <c r="M271" s="8"/>
      <c r="N271" s="164"/>
    </row>
    <row r="272" spans="1:14" s="33" customFormat="1" ht="12.2" customHeight="1" thickTop="1" x14ac:dyDescent="0.2">
      <c r="A272" s="40" t="s">
        <v>464</v>
      </c>
      <c r="B272" s="37">
        <v>10</v>
      </c>
      <c r="C272" s="37">
        <v>18</v>
      </c>
      <c r="D272" s="36" t="s">
        <v>431</v>
      </c>
      <c r="E272" s="37"/>
      <c r="F272" s="39">
        <f t="shared" ref="F272:L272" si="11">F258+F271</f>
        <v>7654280.6700000009</v>
      </c>
      <c r="G272" s="39">
        <f t="shared" si="11"/>
        <v>3602166.68</v>
      </c>
      <c r="H272" s="39">
        <f t="shared" si="11"/>
        <v>3958927.75</v>
      </c>
      <c r="I272" s="39">
        <f t="shared" si="11"/>
        <v>540158.74</v>
      </c>
      <c r="J272" s="39">
        <f t="shared" si="11"/>
        <v>177615.19</v>
      </c>
      <c r="K272" s="39">
        <f t="shared" si="11"/>
        <v>1161054.75</v>
      </c>
      <c r="L272" s="39">
        <f t="shared" si="11"/>
        <v>17094203.780000001</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59769.58</v>
      </c>
      <c r="G277" s="18">
        <v>34077.97</v>
      </c>
      <c r="H277" s="18">
        <v>0</v>
      </c>
      <c r="I277" s="18">
        <v>318.63</v>
      </c>
      <c r="J277" s="18">
        <v>0</v>
      </c>
      <c r="K277" s="18">
        <v>0</v>
      </c>
      <c r="L277" s="13">
        <f>SUM(F277:K277)</f>
        <v>94166.180000000008</v>
      </c>
      <c r="M277" s="8"/>
      <c r="N277" s="164"/>
    </row>
    <row r="278" spans="1:14" s="3" customFormat="1" ht="12.2" customHeight="1" x14ac:dyDescent="0.15">
      <c r="A278" s="1" t="s">
        <v>439</v>
      </c>
      <c r="B278" s="2" t="s">
        <v>357</v>
      </c>
      <c r="C278" s="2" t="s">
        <v>291</v>
      </c>
      <c r="D278" s="2" t="s">
        <v>431</v>
      </c>
      <c r="E278" s="6">
        <v>1200</v>
      </c>
      <c r="F278" s="18">
        <v>150857.01</v>
      </c>
      <c r="G278" s="18">
        <v>80426.570000000007</v>
      </c>
      <c r="H278" s="18">
        <v>0</v>
      </c>
      <c r="I278" s="18">
        <v>0</v>
      </c>
      <c r="J278" s="18">
        <v>0</v>
      </c>
      <c r="K278" s="18">
        <v>0</v>
      </c>
      <c r="L278" s="13">
        <f>SUM(F278:K278)</f>
        <v>231283.58000000002</v>
      </c>
      <c r="M278" s="8"/>
      <c r="N278" s="1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4"/>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0</v>
      </c>
      <c r="G282" s="18">
        <v>0</v>
      </c>
      <c r="H282" s="18">
        <v>0</v>
      </c>
      <c r="I282" s="18">
        <v>0</v>
      </c>
      <c r="J282" s="18">
        <v>0</v>
      </c>
      <c r="K282" s="18">
        <v>0</v>
      </c>
      <c r="L282" s="13">
        <f t="shared" ref="L282:L288" si="12">SUM(F282:K282)</f>
        <v>0</v>
      </c>
      <c r="M282" s="8"/>
      <c r="N282" s="164"/>
    </row>
    <row r="283" spans="1:14" s="3" customFormat="1" ht="12.2" customHeight="1" x14ac:dyDescent="0.15">
      <c r="A283" s="1" t="s">
        <v>443</v>
      </c>
      <c r="B283" s="2" t="s">
        <v>357</v>
      </c>
      <c r="C283" s="2" t="s">
        <v>295</v>
      </c>
      <c r="D283" s="2" t="s">
        <v>431</v>
      </c>
      <c r="E283" s="6">
        <v>2200</v>
      </c>
      <c r="F283" s="18">
        <v>24815.54</v>
      </c>
      <c r="G283" s="18">
        <v>5326.21</v>
      </c>
      <c r="H283" s="18">
        <v>6050</v>
      </c>
      <c r="I283" s="18">
        <v>0</v>
      </c>
      <c r="J283" s="18">
        <v>0</v>
      </c>
      <c r="K283" s="18">
        <v>0</v>
      </c>
      <c r="L283" s="13">
        <f t="shared" si="12"/>
        <v>36191.75</v>
      </c>
      <c r="M283" s="8"/>
      <c r="N283" s="164"/>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3">
        <f t="shared" si="12"/>
        <v>0</v>
      </c>
      <c r="M284" s="8"/>
      <c r="N284" s="164"/>
    </row>
    <row r="285" spans="1:14" s="3" customFormat="1" ht="12.2" customHeight="1" x14ac:dyDescent="0.15">
      <c r="A285" s="1" t="s">
        <v>445</v>
      </c>
      <c r="B285" s="2" t="s">
        <v>357</v>
      </c>
      <c r="C285" s="2" t="s">
        <v>297</v>
      </c>
      <c r="D285" s="2" t="s">
        <v>431</v>
      </c>
      <c r="E285" s="6">
        <v>2400</v>
      </c>
      <c r="F285" s="18">
        <v>0</v>
      </c>
      <c r="G285" s="18">
        <v>0</v>
      </c>
      <c r="H285" s="18">
        <v>0</v>
      </c>
      <c r="I285" s="18">
        <v>12750.28</v>
      </c>
      <c r="J285" s="18">
        <v>0</v>
      </c>
      <c r="K285" s="18">
        <v>0</v>
      </c>
      <c r="L285" s="13">
        <f t="shared" si="12"/>
        <v>12750.28</v>
      </c>
      <c r="M285" s="8"/>
      <c r="N285" s="1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4"/>
    </row>
    <row r="287" spans="1:14" s="3" customFormat="1" ht="12.2" customHeight="1" x14ac:dyDescent="0.15">
      <c r="A287" s="1" t="s">
        <v>447</v>
      </c>
      <c r="B287" s="2" t="s">
        <v>357</v>
      </c>
      <c r="C287" s="2" t="s">
        <v>299</v>
      </c>
      <c r="D287" s="2" t="s">
        <v>431</v>
      </c>
      <c r="E287" s="6">
        <v>2600</v>
      </c>
      <c r="F287" s="18">
        <v>0</v>
      </c>
      <c r="G287" s="18">
        <v>0</v>
      </c>
      <c r="H287" s="18">
        <v>0</v>
      </c>
      <c r="I287" s="18">
        <v>0</v>
      </c>
      <c r="J287" s="18">
        <v>33550.980000000003</v>
      </c>
      <c r="K287" s="18">
        <v>0</v>
      </c>
      <c r="L287" s="13">
        <f t="shared" si="12"/>
        <v>33550.980000000003</v>
      </c>
      <c r="M287" s="8"/>
      <c r="N287" s="164"/>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3">
        <f t="shared" si="12"/>
        <v>0</v>
      </c>
      <c r="M288" s="8"/>
      <c r="N288" s="1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235442.13000000003</v>
      </c>
      <c r="G291" s="39">
        <f t="shared" si="13"/>
        <v>119830.75000000001</v>
      </c>
      <c r="H291" s="39">
        <f t="shared" si="13"/>
        <v>6050</v>
      </c>
      <c r="I291" s="39">
        <f t="shared" si="13"/>
        <v>13068.91</v>
      </c>
      <c r="J291" s="39">
        <f t="shared" si="13"/>
        <v>33550.980000000003</v>
      </c>
      <c r="K291" s="39">
        <f t="shared" si="13"/>
        <v>0</v>
      </c>
      <c r="L291" s="38">
        <f t="shared" si="13"/>
        <v>407942.77</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71958.89</v>
      </c>
      <c r="G296" s="18">
        <v>31902.01</v>
      </c>
      <c r="H296" s="18">
        <v>0</v>
      </c>
      <c r="I296" s="18">
        <v>23072.07</v>
      </c>
      <c r="J296" s="18">
        <v>0</v>
      </c>
      <c r="K296" s="18">
        <v>0</v>
      </c>
      <c r="L296" s="13">
        <f>SUM(F296:K296)</f>
        <v>126932.97</v>
      </c>
      <c r="M296" s="8"/>
      <c r="N296" s="164"/>
    </row>
    <row r="297" spans="1:14" s="3" customFormat="1" ht="12.2" customHeight="1" x14ac:dyDescent="0.15">
      <c r="A297" s="1" t="s">
        <v>439</v>
      </c>
      <c r="B297" s="2" t="s">
        <v>358</v>
      </c>
      <c r="C297" s="2" t="s">
        <v>291</v>
      </c>
      <c r="D297" s="2" t="s">
        <v>431</v>
      </c>
      <c r="E297" s="6">
        <v>1200</v>
      </c>
      <c r="F297" s="18">
        <v>33110.720000000001</v>
      </c>
      <c r="G297" s="18">
        <v>14482.71</v>
      </c>
      <c r="H297" s="18">
        <v>3258.2</v>
      </c>
      <c r="I297" s="18">
        <v>0</v>
      </c>
      <c r="J297" s="18">
        <v>0</v>
      </c>
      <c r="K297" s="18">
        <v>0</v>
      </c>
      <c r="L297" s="13">
        <f>SUM(F297:K297)</f>
        <v>50851.63</v>
      </c>
      <c r="M297" s="8"/>
      <c r="N297" s="1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4"/>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v>0</v>
      </c>
      <c r="G301" s="18">
        <v>0</v>
      </c>
      <c r="H301" s="18">
        <v>122200</v>
      </c>
      <c r="I301" s="18">
        <v>0</v>
      </c>
      <c r="J301" s="18">
        <v>0</v>
      </c>
      <c r="K301" s="18">
        <v>0</v>
      </c>
      <c r="L301" s="13">
        <f t="shared" ref="L301:L307" si="14">SUM(F301:K301)</f>
        <v>122200</v>
      </c>
      <c r="M301" s="8"/>
      <c r="N301" s="164"/>
    </row>
    <row r="302" spans="1:14" s="3" customFormat="1" ht="12.2" customHeight="1" x14ac:dyDescent="0.15">
      <c r="A302" s="1" t="s">
        <v>443</v>
      </c>
      <c r="B302" s="2" t="s">
        <v>358</v>
      </c>
      <c r="C302" s="2" t="s">
        <v>295</v>
      </c>
      <c r="D302" s="2" t="s">
        <v>431</v>
      </c>
      <c r="E302" s="6">
        <v>2200</v>
      </c>
      <c r="F302" s="18">
        <v>62598.59</v>
      </c>
      <c r="G302" s="18">
        <v>26051.26</v>
      </c>
      <c r="H302" s="18">
        <v>27049</v>
      </c>
      <c r="I302" s="18">
        <v>0</v>
      </c>
      <c r="J302" s="18">
        <v>0</v>
      </c>
      <c r="K302" s="18">
        <v>0</v>
      </c>
      <c r="L302" s="13">
        <f t="shared" si="14"/>
        <v>115698.84999999999</v>
      </c>
      <c r="M302" s="8"/>
      <c r="N302" s="164"/>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4"/>
        <v>0</v>
      </c>
      <c r="M303" s="8"/>
      <c r="N303" s="164"/>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4"/>
    </row>
    <row r="306" spans="1:14" s="3" customFormat="1" ht="12.2" customHeight="1" x14ac:dyDescent="0.15">
      <c r="A306" s="1" t="s">
        <v>447</v>
      </c>
      <c r="B306" s="2" t="s">
        <v>358</v>
      </c>
      <c r="C306" s="2" t="s">
        <v>299</v>
      </c>
      <c r="D306" s="2" t="s">
        <v>431</v>
      </c>
      <c r="E306" s="6">
        <v>2600</v>
      </c>
      <c r="F306" s="18">
        <v>0</v>
      </c>
      <c r="G306" s="18">
        <v>0</v>
      </c>
      <c r="H306" s="18">
        <v>19997</v>
      </c>
      <c r="I306" s="18">
        <v>0</v>
      </c>
      <c r="J306" s="18">
        <v>20610.97</v>
      </c>
      <c r="K306" s="18">
        <v>0</v>
      </c>
      <c r="L306" s="13">
        <f t="shared" si="14"/>
        <v>40607.97</v>
      </c>
      <c r="M306" s="8"/>
      <c r="N306" s="164"/>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3">
        <f t="shared" si="14"/>
        <v>0</v>
      </c>
      <c r="M307" s="8"/>
      <c r="N307" s="164"/>
    </row>
    <row r="308" spans="1:14" s="3" customFormat="1" ht="12.2" customHeight="1" x14ac:dyDescent="0.15">
      <c r="A308" s="1" t="s">
        <v>449</v>
      </c>
      <c r="B308" s="2" t="s">
        <v>358</v>
      </c>
      <c r="C308" s="2" t="s">
        <v>343</v>
      </c>
      <c r="D308" s="2" t="s">
        <v>431</v>
      </c>
      <c r="E308" s="6">
        <v>2800</v>
      </c>
      <c r="F308" s="18">
        <v>0</v>
      </c>
      <c r="G308" s="18"/>
      <c r="H308" s="18">
        <v>0</v>
      </c>
      <c r="I308" s="18">
        <v>0</v>
      </c>
      <c r="J308" s="18">
        <v>0</v>
      </c>
      <c r="K308" s="18">
        <v>0</v>
      </c>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167668.20000000001</v>
      </c>
      <c r="G310" s="39">
        <f t="shared" si="15"/>
        <v>72435.98</v>
      </c>
      <c r="H310" s="39">
        <f t="shared" si="15"/>
        <v>172504.2</v>
      </c>
      <c r="I310" s="39">
        <f t="shared" si="15"/>
        <v>23072.07</v>
      </c>
      <c r="J310" s="39">
        <f t="shared" si="15"/>
        <v>20610.97</v>
      </c>
      <c r="K310" s="39">
        <f t="shared" si="15"/>
        <v>0</v>
      </c>
      <c r="L310" s="38">
        <f t="shared" si="15"/>
        <v>456291.41999999993</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v>0</v>
      </c>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403110.33000000007</v>
      </c>
      <c r="G339" s="38">
        <f t="shared" si="20"/>
        <v>192266.73</v>
      </c>
      <c r="H339" s="38">
        <f t="shared" si="20"/>
        <v>178554.2</v>
      </c>
      <c r="I339" s="38">
        <f t="shared" si="20"/>
        <v>36140.979999999996</v>
      </c>
      <c r="J339" s="38">
        <f t="shared" si="20"/>
        <v>54161.950000000004</v>
      </c>
      <c r="K339" s="38">
        <f t="shared" si="20"/>
        <v>0</v>
      </c>
      <c r="L339" s="38">
        <f t="shared" si="20"/>
        <v>864234.19</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22769.07</v>
      </c>
      <c r="L345" s="13">
        <f t="shared" ref="L345:L351" si="21">SUM(F345:K345)</f>
        <v>22769.07</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v>0</v>
      </c>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22769.07</v>
      </c>
      <c r="L352" s="38">
        <f>SUM(L342:L351)</f>
        <v>22769.07</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403110.33000000007</v>
      </c>
      <c r="G353" s="38">
        <f>G339</f>
        <v>192266.73</v>
      </c>
      <c r="H353" s="38">
        <f>H339</f>
        <v>178554.2</v>
      </c>
      <c r="I353" s="38">
        <f>I339</f>
        <v>36140.979999999996</v>
      </c>
      <c r="J353" s="38">
        <f>J339</f>
        <v>54161.950000000004</v>
      </c>
      <c r="K353" s="38">
        <f>K339+K352</f>
        <v>22769.07</v>
      </c>
      <c r="L353" s="38">
        <f>L339+L352</f>
        <v>887003.25999999989</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0</v>
      </c>
      <c r="G359" s="18">
        <v>0</v>
      </c>
      <c r="H359" s="18">
        <v>273031.81</v>
      </c>
      <c r="I359" s="18">
        <v>673.22</v>
      </c>
      <c r="J359" s="18">
        <v>0</v>
      </c>
      <c r="K359" s="18">
        <v>0</v>
      </c>
      <c r="L359" s="13">
        <f>SUM(F359:K359)</f>
        <v>273705.02999999997</v>
      </c>
      <c r="M359" s="8"/>
      <c r="N359" s="164"/>
    </row>
    <row r="360" spans="1:22" s="3" customFormat="1" ht="12.2" customHeight="1" x14ac:dyDescent="0.15">
      <c r="A360" s="1" t="s">
        <v>542</v>
      </c>
      <c r="B360" s="2" t="s">
        <v>366</v>
      </c>
      <c r="C360" s="6">
        <v>2</v>
      </c>
      <c r="D360" s="2" t="s">
        <v>431</v>
      </c>
      <c r="E360" s="6"/>
      <c r="F360" s="18">
        <v>0</v>
      </c>
      <c r="G360" s="18">
        <v>0</v>
      </c>
      <c r="H360" s="18">
        <v>132167.85999999999</v>
      </c>
      <c r="I360" s="18">
        <v>2220.6</v>
      </c>
      <c r="J360" s="18">
        <v>0</v>
      </c>
      <c r="K360" s="18">
        <v>38.799999999999997</v>
      </c>
      <c r="L360" s="13">
        <f>SUM(F360:K360)</f>
        <v>134427.25999999998</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405199.67</v>
      </c>
      <c r="I363" s="38">
        <f t="shared" si="22"/>
        <v>2893.8199999999997</v>
      </c>
      <c r="J363" s="38">
        <f t="shared" si="22"/>
        <v>0</v>
      </c>
      <c r="K363" s="38">
        <f t="shared" si="22"/>
        <v>38.799999999999997</v>
      </c>
      <c r="L363" s="38">
        <f t="shared" si="22"/>
        <v>408132.28999999992</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0</v>
      </c>
      <c r="G368" s="18">
        <v>0</v>
      </c>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673.22</v>
      </c>
      <c r="G369" s="53">
        <v>2220.6</v>
      </c>
      <c r="H369" s="53"/>
      <c r="I369" s="13">
        <f>SUM(F369:H369)</f>
        <v>2893.8199999999997</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673.22</v>
      </c>
      <c r="G370" s="38">
        <f>SUM(G368:G369)</f>
        <v>2220.6</v>
      </c>
      <c r="H370" s="38">
        <f>SUM(H368:H369)</f>
        <v>0</v>
      </c>
      <c r="I370" s="38">
        <f>SUM(I368:I369)</f>
        <v>2893.8199999999997</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v>808.4</v>
      </c>
      <c r="I390" s="18"/>
      <c r="J390" s="23" t="s">
        <v>288</v>
      </c>
      <c r="K390" s="23" t="s">
        <v>288</v>
      </c>
      <c r="L390" s="13">
        <f t="shared" si="25"/>
        <v>808.4</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808.4</v>
      </c>
      <c r="I394" s="54">
        <f>SUM(I388:I393)</f>
        <v>0</v>
      </c>
      <c r="J394" s="42" t="s">
        <v>288</v>
      </c>
      <c r="K394" s="42" t="s">
        <v>288</v>
      </c>
      <c r="L394" s="38">
        <f>SUM(L388:L393)</f>
        <v>808.4</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v>0</v>
      </c>
      <c r="H397" s="18">
        <v>113.62</v>
      </c>
      <c r="I397" s="18"/>
      <c r="J397" s="23" t="s">
        <v>288</v>
      </c>
      <c r="K397" s="23" t="s">
        <v>288</v>
      </c>
      <c r="L397" s="13">
        <f t="shared" si="26"/>
        <v>113.62</v>
      </c>
      <c r="M397" s="8"/>
      <c r="N397" s="164"/>
    </row>
    <row r="398" spans="1:14" s="3" customFormat="1" ht="12.2" customHeight="1" x14ac:dyDescent="0.15">
      <c r="A398" s="62" t="s">
        <v>515</v>
      </c>
      <c r="B398" s="2" t="s">
        <v>381</v>
      </c>
      <c r="C398" s="6">
        <v>10</v>
      </c>
      <c r="D398" s="2" t="s">
        <v>432</v>
      </c>
      <c r="E398" s="6"/>
      <c r="F398" s="18"/>
      <c r="G398" s="18">
        <v>0</v>
      </c>
      <c r="H398" s="18">
        <v>102</v>
      </c>
      <c r="I398" s="18"/>
      <c r="J398" s="23" t="s">
        <v>288</v>
      </c>
      <c r="K398" s="23" t="s">
        <v>288</v>
      </c>
      <c r="L398" s="13">
        <f t="shared" si="26"/>
        <v>102</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215.62</v>
      </c>
      <c r="I402" s="38">
        <f>SUM(I396:I401)</f>
        <v>0</v>
      </c>
      <c r="J402" s="42" t="s">
        <v>288</v>
      </c>
      <c r="K402" s="42" t="s">
        <v>288</v>
      </c>
      <c r="L402" s="38">
        <f>SUM(L396:L401)</f>
        <v>215.62</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1024.02</v>
      </c>
      <c r="I409" s="38">
        <f>I394+I402+I408</f>
        <v>0</v>
      </c>
      <c r="J409" s="23" t="s">
        <v>288</v>
      </c>
      <c r="K409" s="23" t="s">
        <v>288</v>
      </c>
      <c r="L409" s="38">
        <f>L394+L402+L408</f>
        <v>1024.02</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v>0</v>
      </c>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v>1023165.91</v>
      </c>
      <c r="H440" s="18"/>
      <c r="I440" s="13">
        <f t="shared" ref="I440:I446" si="33">SUM(F440:H440)</f>
        <v>1023165.91</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1023165.91</v>
      </c>
      <c r="H447" s="13">
        <f>SUM(H440:H446)</f>
        <v>0</v>
      </c>
      <c r="I447" s="13">
        <f>SUM(I440:I446)</f>
        <v>1023165.91</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v>0</v>
      </c>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1023165.91</v>
      </c>
      <c r="H460" s="18"/>
      <c r="I460" s="13">
        <f t="shared" si="34"/>
        <v>1023165.91</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1023165.91</v>
      </c>
      <c r="H461" s="65">
        <f>SUM(H455:H460)</f>
        <v>0</v>
      </c>
      <c r="I461" s="65">
        <f>SUM(I455:I460)</f>
        <v>1023165.91</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1023165.91</v>
      </c>
      <c r="H462" s="39">
        <f>H453+H461</f>
        <v>0</v>
      </c>
      <c r="I462" s="39">
        <f>I453+I461</f>
        <v>1023165.91</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647247.45999999717</v>
      </c>
      <c r="G466" s="18">
        <v>231306.78000000014</v>
      </c>
      <c r="H466" s="18">
        <v>8696.3399999999674</v>
      </c>
      <c r="I466" s="18">
        <v>0</v>
      </c>
      <c r="J466" s="18">
        <v>1022141.8900000001</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f>F194</f>
        <v>16916604.330000002</v>
      </c>
      <c r="G469" s="18">
        <f t="shared" ref="G469:J469" si="35">G194</f>
        <v>430603.15</v>
      </c>
      <c r="H469" s="18">
        <f t="shared" si="35"/>
        <v>887003.26</v>
      </c>
      <c r="I469" s="18">
        <f t="shared" si="35"/>
        <v>0</v>
      </c>
      <c r="J469" s="18">
        <f t="shared" si="35"/>
        <v>1024.02</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16916604.330000002</v>
      </c>
      <c r="G471" s="19">
        <f>SUM(G469:G470)</f>
        <v>430603.15</v>
      </c>
      <c r="H471" s="19">
        <f>SUM(H469:H470)</f>
        <v>887003.26</v>
      </c>
      <c r="I471" s="19">
        <f>SUM(I469:I470)</f>
        <v>0</v>
      </c>
      <c r="J471" s="19">
        <f>SUM(J469:J470)</f>
        <v>1024.02</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L272</f>
        <v>17094203.780000001</v>
      </c>
      <c r="G473" s="18">
        <f>L363</f>
        <v>408132.28999999992</v>
      </c>
      <c r="H473" s="18">
        <f>L353</f>
        <v>887003.25999999989</v>
      </c>
      <c r="I473" s="18">
        <f>L383</f>
        <v>0</v>
      </c>
      <c r="J473" s="18">
        <f>L435</f>
        <v>0</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17094203.780000001</v>
      </c>
      <c r="G475" s="19">
        <f>SUM(G473:G474)</f>
        <v>408132.28999999992</v>
      </c>
      <c r="H475" s="19">
        <f>SUM(H473:H474)</f>
        <v>887003.25999999989</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469648.00999999791</v>
      </c>
      <c r="G477" s="19">
        <f>(G466+G471)- G475</f>
        <v>253777.64000000025</v>
      </c>
      <c r="H477" s="19">
        <f>(H466+H471)- H475</f>
        <v>8696.3400000000838</v>
      </c>
      <c r="I477" s="19">
        <f>(I466+I471)- I475</f>
        <v>0</v>
      </c>
      <c r="J477" s="19">
        <f>(J466+J471)- J475</f>
        <v>1023165.9100000001</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6">SUM(F497:J497)</f>
        <v>0</v>
      </c>
      <c r="L497" s="23" t="s">
        <v>288</v>
      </c>
      <c r="N497" s="130"/>
    </row>
    <row r="498" spans="1:14" ht="12.2" customHeight="1" x14ac:dyDescent="0.2">
      <c r="A498" s="21" t="s">
        <v>621</v>
      </c>
      <c r="B498" s="22">
        <v>20</v>
      </c>
      <c r="C498" s="22">
        <v>8</v>
      </c>
      <c r="D498" s="2" t="s">
        <v>432</v>
      </c>
      <c r="E498" s="22"/>
      <c r="F498" s="18">
        <v>910000</v>
      </c>
      <c r="G498" s="18">
        <v>37809</v>
      </c>
      <c r="H498" s="18"/>
      <c r="I498" s="18"/>
      <c r="J498" s="18"/>
      <c r="K498" s="19">
        <f t="shared" si="36"/>
        <v>947809</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6"/>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6"/>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6"/>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6"/>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6"/>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6"/>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767686.79</v>
      </c>
      <c r="G522" s="18">
        <v>253333.7</v>
      </c>
      <c r="H522" s="18">
        <v>530039.42000000004</v>
      </c>
      <c r="I522" s="18">
        <v>10291.69</v>
      </c>
      <c r="J522" s="18">
        <v>0</v>
      </c>
      <c r="K522" s="18">
        <v>2263.62</v>
      </c>
      <c r="L522" s="69">
        <f>SUM(F522:K522)</f>
        <v>1563615.2200000002</v>
      </c>
      <c r="N522" s="130"/>
    </row>
    <row r="523" spans="1:14" ht="12.2" customHeight="1" x14ac:dyDescent="0.2">
      <c r="A523" s="21" t="s">
        <v>634</v>
      </c>
      <c r="B523" s="22">
        <v>21</v>
      </c>
      <c r="C523" s="22">
        <v>2</v>
      </c>
      <c r="D523" s="2" t="s">
        <v>432</v>
      </c>
      <c r="E523" s="22"/>
      <c r="F523" s="18">
        <v>921276.28</v>
      </c>
      <c r="G523" s="18">
        <v>293161.19</v>
      </c>
      <c r="H523" s="18">
        <v>332063.68</v>
      </c>
      <c r="I523" s="18">
        <v>2896.02</v>
      </c>
      <c r="J523" s="18">
        <v>525.20000000000005</v>
      </c>
      <c r="K523" s="18">
        <v>3256.87</v>
      </c>
      <c r="L523" s="69">
        <f>SUM(F523:K523)</f>
        <v>1553179.24</v>
      </c>
      <c r="N523" s="130"/>
    </row>
    <row r="524" spans="1:14" ht="12.2" customHeight="1" thickBot="1" x14ac:dyDescent="0.25">
      <c r="A524" s="21" t="s">
        <v>635</v>
      </c>
      <c r="B524" s="22">
        <v>21</v>
      </c>
      <c r="C524" s="22">
        <v>3</v>
      </c>
      <c r="D524" s="2" t="s">
        <v>432</v>
      </c>
      <c r="E524" s="22"/>
      <c r="F524" s="18"/>
      <c r="G524" s="18"/>
      <c r="H524" s="18"/>
      <c r="I524" s="18"/>
      <c r="J524" s="18"/>
      <c r="K524" s="18">
        <v>0</v>
      </c>
      <c r="L524" s="69">
        <f>SUM(F524:K524)</f>
        <v>0</v>
      </c>
      <c r="N524" s="130"/>
    </row>
    <row r="525" spans="1:14" ht="12.2" customHeight="1" thickTop="1" x14ac:dyDescent="0.2">
      <c r="A525" s="97" t="s">
        <v>63</v>
      </c>
      <c r="B525" s="41">
        <v>21</v>
      </c>
      <c r="C525" s="41">
        <v>4</v>
      </c>
      <c r="D525" s="115" t="s">
        <v>432</v>
      </c>
      <c r="E525" s="41"/>
      <c r="F525" s="81">
        <f>SUM(F522:F524)</f>
        <v>1688963.07</v>
      </c>
      <c r="G525" s="81">
        <f t="shared" ref="G525:L525" si="37">SUM(G522:G524)</f>
        <v>546494.89</v>
      </c>
      <c r="H525" s="81">
        <f t="shared" si="37"/>
        <v>862103.10000000009</v>
      </c>
      <c r="I525" s="81">
        <f t="shared" si="37"/>
        <v>13187.710000000001</v>
      </c>
      <c r="J525" s="81">
        <f t="shared" si="37"/>
        <v>525.20000000000005</v>
      </c>
      <c r="K525" s="81">
        <f t="shared" si="37"/>
        <v>5520.49</v>
      </c>
      <c r="L525" s="70">
        <f t="shared" si="37"/>
        <v>3116794.46</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105635.54</v>
      </c>
      <c r="G527" s="18">
        <v>75214.740000000005</v>
      </c>
      <c r="H527" s="18">
        <v>254313.93</v>
      </c>
      <c r="I527" s="18">
        <v>1990.65</v>
      </c>
      <c r="J527" s="18">
        <v>1656.4</v>
      </c>
      <c r="K527" s="18">
        <v>0</v>
      </c>
      <c r="L527" s="69">
        <f>SUM(F527:K527)</f>
        <v>438811.26</v>
      </c>
      <c r="M527" s="8"/>
      <c r="N527" s="164"/>
    </row>
    <row r="528" spans="1:14" s="3" customFormat="1" ht="12.2" customHeight="1" x14ac:dyDescent="0.15">
      <c r="A528" s="21" t="s">
        <v>634</v>
      </c>
      <c r="B528" s="22">
        <v>21</v>
      </c>
      <c r="C528" s="22">
        <v>6</v>
      </c>
      <c r="D528" s="2" t="s">
        <v>432</v>
      </c>
      <c r="E528" s="22"/>
      <c r="F528" s="18">
        <v>99333.11</v>
      </c>
      <c r="G528" s="18">
        <v>84237.31</v>
      </c>
      <c r="H528" s="18">
        <v>110969.57</v>
      </c>
      <c r="I528" s="18">
        <v>1588.71</v>
      </c>
      <c r="J528" s="18">
        <v>0</v>
      </c>
      <c r="K528" s="18">
        <v>0</v>
      </c>
      <c r="L528" s="69">
        <f>SUM(F528:K528)</f>
        <v>296128.7</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204968.65</v>
      </c>
      <c r="G530" s="70">
        <f t="shared" ref="G530:L530" si="38">SUM(G527:G529)</f>
        <v>159452.04999999999</v>
      </c>
      <c r="H530" s="70">
        <f t="shared" si="38"/>
        <v>365283.5</v>
      </c>
      <c r="I530" s="70">
        <f t="shared" si="38"/>
        <v>3579.36</v>
      </c>
      <c r="J530" s="70">
        <f t="shared" si="38"/>
        <v>1656.4</v>
      </c>
      <c r="K530" s="70">
        <f t="shared" si="38"/>
        <v>0</v>
      </c>
      <c r="L530" s="70">
        <f t="shared" si="38"/>
        <v>734939.96</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f>(154373*0.4183)/2+76500</f>
        <v>108787.11295</v>
      </c>
      <c r="G532" s="18">
        <f>(101532.73*0.4183)/2+49040.16</f>
        <v>70275.730479499995</v>
      </c>
      <c r="H532" s="18"/>
      <c r="I532" s="18"/>
      <c r="J532" s="18"/>
      <c r="K532" s="18"/>
      <c r="L532" s="69">
        <f>SUM(F532:K532)</f>
        <v>179062.8434295</v>
      </c>
      <c r="M532" s="8"/>
      <c r="N532" s="164"/>
    </row>
    <row r="533" spans="1:14" s="3" customFormat="1" ht="12.2" customHeight="1" x14ac:dyDescent="0.15">
      <c r="A533" s="21" t="s">
        <v>634</v>
      </c>
      <c r="B533" s="22">
        <v>21</v>
      </c>
      <c r="C533" s="22">
        <v>10</v>
      </c>
      <c r="D533" s="2" t="s">
        <v>432</v>
      </c>
      <c r="E533" s="22"/>
      <c r="F533" s="18">
        <f>(154373*0.4183)/2+95325</f>
        <v>127612.11295</v>
      </c>
      <c r="G533" s="18">
        <f>(101532.73*0.4183)/2+56659.55</f>
        <v>77895.120479500009</v>
      </c>
      <c r="H533" s="18"/>
      <c r="I533" s="18"/>
      <c r="J533" s="18"/>
      <c r="K533" s="18"/>
      <c r="L533" s="69">
        <f>SUM(F533:K533)</f>
        <v>205507.23342950002</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236399.22589999999</v>
      </c>
      <c r="G535" s="70">
        <f t="shared" ref="G535:L535" si="39">SUM(G532:G534)</f>
        <v>148170.850959</v>
      </c>
      <c r="H535" s="70">
        <f t="shared" si="39"/>
        <v>0</v>
      </c>
      <c r="I535" s="70">
        <f t="shared" si="39"/>
        <v>0</v>
      </c>
      <c r="J535" s="70">
        <f t="shared" si="39"/>
        <v>0</v>
      </c>
      <c r="K535" s="70">
        <f t="shared" si="39"/>
        <v>0</v>
      </c>
      <c r="L535" s="70">
        <f t="shared" si="39"/>
        <v>384570.07685900002</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829.52</v>
      </c>
      <c r="I537" s="18"/>
      <c r="J537" s="18"/>
      <c r="K537" s="18"/>
      <c r="L537" s="69">
        <f>SUM(F537:K537)</f>
        <v>829.52</v>
      </c>
      <c r="M537" s="8"/>
      <c r="N537" s="164"/>
    </row>
    <row r="538" spans="1:14" s="3" customFormat="1" ht="12.2" customHeight="1" x14ac:dyDescent="0.15">
      <c r="A538" s="21" t="s">
        <v>634</v>
      </c>
      <c r="B538" s="22">
        <v>21</v>
      </c>
      <c r="C538" s="22">
        <v>14</v>
      </c>
      <c r="D538" s="2" t="s">
        <v>432</v>
      </c>
      <c r="E538" s="22"/>
      <c r="F538" s="18"/>
      <c r="G538" s="18"/>
      <c r="H538" s="18">
        <v>1148.01</v>
      </c>
      <c r="I538" s="18"/>
      <c r="J538" s="18"/>
      <c r="K538" s="18"/>
      <c r="L538" s="69">
        <f>SUM(F538:K538)</f>
        <v>1148.01</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40">SUM(G537:G539)</f>
        <v>0</v>
      </c>
      <c r="H540" s="70">
        <f t="shared" si="40"/>
        <v>1977.53</v>
      </c>
      <c r="I540" s="70">
        <f t="shared" si="40"/>
        <v>0</v>
      </c>
      <c r="J540" s="70">
        <f t="shared" si="40"/>
        <v>0</v>
      </c>
      <c r="K540" s="70">
        <f t="shared" si="40"/>
        <v>0</v>
      </c>
      <c r="L540" s="70">
        <f t="shared" si="40"/>
        <v>1977.53</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178711.14</v>
      </c>
      <c r="I542" s="18"/>
      <c r="J542" s="18"/>
      <c r="K542" s="18"/>
      <c r="L542" s="69">
        <f>SUM(F542:K542)</f>
        <v>178711.14</v>
      </c>
      <c r="M542" s="8"/>
      <c r="N542" s="164"/>
    </row>
    <row r="543" spans="1:14" s="3" customFormat="1" ht="12.2" customHeight="1" x14ac:dyDescent="0.15">
      <c r="A543" s="21" t="s">
        <v>634</v>
      </c>
      <c r="B543" s="22">
        <v>21</v>
      </c>
      <c r="C543" s="22">
        <v>18</v>
      </c>
      <c r="D543" s="2" t="s">
        <v>432</v>
      </c>
      <c r="E543" s="22"/>
      <c r="F543" s="18"/>
      <c r="G543" s="18"/>
      <c r="H543" s="18">
        <v>216083.7</v>
      </c>
      <c r="I543" s="18"/>
      <c r="J543" s="18"/>
      <c r="K543" s="18"/>
      <c r="L543" s="69">
        <f>SUM(F543:K543)</f>
        <v>216083.7</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1">SUM(G542:G544)</f>
        <v>0</v>
      </c>
      <c r="H545" s="140">
        <f t="shared" si="41"/>
        <v>394794.84</v>
      </c>
      <c r="I545" s="140">
        <f t="shared" si="41"/>
        <v>0</v>
      </c>
      <c r="J545" s="140">
        <f t="shared" si="41"/>
        <v>0</v>
      </c>
      <c r="K545" s="140">
        <f t="shared" si="41"/>
        <v>0</v>
      </c>
      <c r="L545" s="140">
        <f t="shared" si="41"/>
        <v>394794.84</v>
      </c>
      <c r="M545" s="8"/>
      <c r="N545" s="164"/>
    </row>
    <row r="546" spans="1:14" s="3" customFormat="1" ht="12.2" customHeight="1" thickTop="1" x14ac:dyDescent="0.15">
      <c r="A546" s="75" t="s">
        <v>72</v>
      </c>
      <c r="B546" s="41">
        <v>21</v>
      </c>
      <c r="C546" s="41">
        <v>21</v>
      </c>
      <c r="D546" s="115" t="s">
        <v>432</v>
      </c>
      <c r="E546" s="41"/>
      <c r="F546" s="70">
        <f>F525+F530+F535+F540+F545</f>
        <v>2130330.9459000002</v>
      </c>
      <c r="G546" s="70">
        <f t="shared" ref="G546:L546" si="42">G525+G530+G535+G540+G545</f>
        <v>854117.79095899989</v>
      </c>
      <c r="H546" s="70">
        <f t="shared" si="42"/>
        <v>1624158.9700000002</v>
      </c>
      <c r="I546" s="70">
        <f t="shared" si="42"/>
        <v>16767.07</v>
      </c>
      <c r="J546" s="70">
        <f t="shared" si="42"/>
        <v>2181.6000000000004</v>
      </c>
      <c r="K546" s="70">
        <f t="shared" si="42"/>
        <v>5520.49</v>
      </c>
      <c r="L546" s="70">
        <f t="shared" si="42"/>
        <v>4633076.8668590002</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1563615.2200000002</v>
      </c>
      <c r="G550" s="69">
        <f>L527</f>
        <v>438811.26</v>
      </c>
      <c r="H550" s="69">
        <f>L532</f>
        <v>179062.8434295</v>
      </c>
      <c r="I550" s="69">
        <f>L537</f>
        <v>829.52</v>
      </c>
      <c r="J550" s="69">
        <f>L542</f>
        <v>178711.14</v>
      </c>
      <c r="K550" s="69">
        <f>SUM(F550:J550)</f>
        <v>2361029.9834295004</v>
      </c>
      <c r="L550" s="23" t="s">
        <v>288</v>
      </c>
      <c r="M550" s="8"/>
      <c r="N550" s="164"/>
    </row>
    <row r="551" spans="1:14" s="3" customFormat="1" ht="12.2" customHeight="1" x14ac:dyDescent="0.15">
      <c r="A551" s="21" t="s">
        <v>634</v>
      </c>
      <c r="B551" s="22">
        <v>21</v>
      </c>
      <c r="C551" s="22">
        <v>23</v>
      </c>
      <c r="D551" s="2" t="s">
        <v>432</v>
      </c>
      <c r="E551" s="22"/>
      <c r="F551" s="69">
        <f>L523</f>
        <v>1553179.24</v>
      </c>
      <c r="G551" s="69">
        <f>L528</f>
        <v>296128.7</v>
      </c>
      <c r="H551" s="69">
        <f>L533</f>
        <v>205507.23342950002</v>
      </c>
      <c r="I551" s="69">
        <f>L538</f>
        <v>1148.01</v>
      </c>
      <c r="J551" s="69">
        <f>L543</f>
        <v>216083.7</v>
      </c>
      <c r="K551" s="69">
        <f>SUM(F551:J551)</f>
        <v>2272046.8834294998</v>
      </c>
      <c r="L551" s="23" t="s">
        <v>288</v>
      </c>
      <c r="M551" s="8"/>
      <c r="N551" s="164"/>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4"/>
    </row>
    <row r="553" spans="1:14" s="3" customFormat="1" ht="12.2" customHeight="1" thickTop="1" x14ac:dyDescent="0.15">
      <c r="A553" s="126" t="s">
        <v>340</v>
      </c>
      <c r="B553" s="41">
        <v>21</v>
      </c>
      <c r="C553" s="41">
        <v>25</v>
      </c>
      <c r="D553" s="36" t="s">
        <v>432</v>
      </c>
      <c r="E553" s="41"/>
      <c r="F553" s="70">
        <f t="shared" ref="F553:K553" si="43">SUM(F550:F552)</f>
        <v>3116794.46</v>
      </c>
      <c r="G553" s="70">
        <f t="shared" si="43"/>
        <v>734939.96</v>
      </c>
      <c r="H553" s="70">
        <f t="shared" si="43"/>
        <v>384570.07685900002</v>
      </c>
      <c r="I553" s="70">
        <f t="shared" si="43"/>
        <v>1977.53</v>
      </c>
      <c r="J553" s="70">
        <f t="shared" si="43"/>
        <v>394794.84</v>
      </c>
      <c r="K553" s="70">
        <f t="shared" si="43"/>
        <v>4633076.8668590002</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4">SUM(F558:F560)</f>
        <v>0</v>
      </c>
      <c r="G561" s="81">
        <f t="shared" si="44"/>
        <v>0</v>
      </c>
      <c r="H561" s="81">
        <f t="shared" si="44"/>
        <v>0</v>
      </c>
      <c r="I561" s="81">
        <f t="shared" si="44"/>
        <v>0</v>
      </c>
      <c r="J561" s="81">
        <f t="shared" si="44"/>
        <v>0</v>
      </c>
      <c r="K561" s="81">
        <f t="shared" si="44"/>
        <v>0</v>
      </c>
      <c r="L561" s="70">
        <f t="shared" si="44"/>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v>0</v>
      </c>
      <c r="G563" s="18">
        <v>0</v>
      </c>
      <c r="H563" s="18">
        <v>0</v>
      </c>
      <c r="I563" s="18">
        <v>0</v>
      </c>
      <c r="J563" s="18">
        <v>0</v>
      </c>
      <c r="K563" s="18">
        <v>0</v>
      </c>
      <c r="L563" s="69">
        <f>SUM(F563:K563)</f>
        <v>0</v>
      </c>
      <c r="M563" s="8"/>
      <c r="N563" s="164"/>
    </row>
    <row r="564" spans="1:14" s="3" customFormat="1" ht="12.2" customHeight="1" x14ac:dyDescent="0.15">
      <c r="A564" s="21" t="s">
        <v>634</v>
      </c>
      <c r="B564" s="22">
        <v>22</v>
      </c>
      <c r="C564" s="22">
        <v>6</v>
      </c>
      <c r="D564" s="2" t="s">
        <v>432</v>
      </c>
      <c r="E564" s="22"/>
      <c r="F564" s="18">
        <v>0</v>
      </c>
      <c r="G564" s="18">
        <v>0</v>
      </c>
      <c r="H564" s="18">
        <v>309.10000000000002</v>
      </c>
      <c r="I564" s="18">
        <v>0</v>
      </c>
      <c r="J564" s="18">
        <v>0</v>
      </c>
      <c r="K564" s="18">
        <v>0</v>
      </c>
      <c r="L564" s="69">
        <f>SUM(F564:K564)</f>
        <v>309.10000000000002</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5">SUM(F563:F565)</f>
        <v>0</v>
      </c>
      <c r="G566" s="70">
        <f t="shared" si="45"/>
        <v>0</v>
      </c>
      <c r="H566" s="70">
        <f t="shared" si="45"/>
        <v>309.10000000000002</v>
      </c>
      <c r="I566" s="70">
        <f t="shared" si="45"/>
        <v>0</v>
      </c>
      <c r="J566" s="70">
        <f t="shared" si="45"/>
        <v>0</v>
      </c>
      <c r="K566" s="70">
        <f t="shared" si="45"/>
        <v>0</v>
      </c>
      <c r="L566" s="70">
        <f t="shared" si="45"/>
        <v>309.10000000000002</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v>52042.78</v>
      </c>
      <c r="G568" s="18">
        <v>42563.59</v>
      </c>
      <c r="H568" s="18">
        <v>0</v>
      </c>
      <c r="I568" s="18">
        <v>2902.57</v>
      </c>
      <c r="J568" s="18">
        <v>0</v>
      </c>
      <c r="K568" s="18">
        <v>0</v>
      </c>
      <c r="L568" s="69">
        <f>SUM(F568:K568)</f>
        <v>97508.94</v>
      </c>
      <c r="M568" s="8"/>
      <c r="N568" s="164"/>
    </row>
    <row r="569" spans="1:14" s="3" customFormat="1" ht="12.2" customHeight="1" x14ac:dyDescent="0.15">
      <c r="A569" s="21" t="s">
        <v>634</v>
      </c>
      <c r="B569" s="22">
        <v>22</v>
      </c>
      <c r="C569" s="22">
        <v>10</v>
      </c>
      <c r="D569" s="2" t="s">
        <v>432</v>
      </c>
      <c r="E569" s="22"/>
      <c r="F569" s="18">
        <v>5171</v>
      </c>
      <c r="G569" s="18">
        <v>395.58</v>
      </c>
      <c r="H569" s="18">
        <v>0</v>
      </c>
      <c r="I569" s="18">
        <v>891.04</v>
      </c>
      <c r="J569" s="18">
        <v>0</v>
      </c>
      <c r="K569" s="18">
        <v>0</v>
      </c>
      <c r="L569" s="69">
        <f>SUM(F569:K569)</f>
        <v>6457.62</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57213.78</v>
      </c>
      <c r="G571" s="140">
        <f t="shared" ref="G571:L571" si="46">SUM(G568:G570)</f>
        <v>42959.17</v>
      </c>
      <c r="H571" s="140">
        <f t="shared" si="46"/>
        <v>0</v>
      </c>
      <c r="I571" s="140">
        <f t="shared" si="46"/>
        <v>3793.61</v>
      </c>
      <c r="J571" s="140">
        <f t="shared" si="46"/>
        <v>0</v>
      </c>
      <c r="K571" s="140">
        <f t="shared" si="46"/>
        <v>0</v>
      </c>
      <c r="L571" s="140">
        <f t="shared" si="46"/>
        <v>103966.56</v>
      </c>
      <c r="M571" s="8"/>
      <c r="N571" s="164"/>
    </row>
    <row r="572" spans="1:14" s="3" customFormat="1" ht="12.2" customHeight="1" thickTop="1" x14ac:dyDescent="0.15">
      <c r="A572" s="75" t="s">
        <v>88</v>
      </c>
      <c r="B572" s="41">
        <v>22</v>
      </c>
      <c r="C572" s="41">
        <v>13</v>
      </c>
      <c r="D572" s="115" t="s">
        <v>432</v>
      </c>
      <c r="E572" s="41"/>
      <c r="F572" s="70">
        <f>F561+F566+F571</f>
        <v>57213.78</v>
      </c>
      <c r="G572" s="70">
        <f t="shared" ref="G572:L572" si="47">G561+G566+G571</f>
        <v>42959.17</v>
      </c>
      <c r="H572" s="70">
        <f t="shared" si="47"/>
        <v>309.10000000000002</v>
      </c>
      <c r="I572" s="70">
        <f t="shared" si="47"/>
        <v>3793.61</v>
      </c>
      <c r="J572" s="70">
        <f t="shared" si="47"/>
        <v>0</v>
      </c>
      <c r="K572" s="70">
        <f t="shared" si="47"/>
        <v>0</v>
      </c>
      <c r="L572" s="70">
        <f t="shared" si="47"/>
        <v>104275.66</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v>0</v>
      </c>
      <c r="G576" s="18">
        <v>0</v>
      </c>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v>0</v>
      </c>
      <c r="G577" s="18">
        <v>0</v>
      </c>
      <c r="H577" s="18"/>
      <c r="I577" s="69">
        <f t="shared" ref="I577:I588" si="48">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8"/>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v>0</v>
      </c>
      <c r="G579" s="18">
        <v>0</v>
      </c>
      <c r="H579" s="18"/>
      <c r="I579" s="69">
        <f t="shared" si="48"/>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0</v>
      </c>
      <c r="G580" s="18">
        <v>25827.66</v>
      </c>
      <c r="H580" s="18"/>
      <c r="I580" s="69">
        <f t="shared" si="48"/>
        <v>25827.66</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v>0</v>
      </c>
      <c r="G581" s="18">
        <v>0</v>
      </c>
      <c r="H581" s="18"/>
      <c r="I581" s="69">
        <f t="shared" si="48"/>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8"/>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215753.13</v>
      </c>
      <c r="G583" s="18">
        <v>133527.74</v>
      </c>
      <c r="H583" s="18"/>
      <c r="I583" s="69">
        <f t="shared" si="48"/>
        <v>349280.87</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v>0</v>
      </c>
      <c r="G584" s="18">
        <v>0</v>
      </c>
      <c r="H584" s="18"/>
      <c r="I584" s="69">
        <f t="shared" si="48"/>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v>0</v>
      </c>
      <c r="G585" s="18">
        <v>0</v>
      </c>
      <c r="H585" s="18"/>
      <c r="I585" s="69">
        <f t="shared" si="48"/>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v>0</v>
      </c>
      <c r="H586" s="18"/>
      <c r="I586" s="69">
        <f t="shared" si="48"/>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8"/>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v>0</v>
      </c>
      <c r="G588" s="53">
        <v>0</v>
      </c>
      <c r="H588" s="53"/>
      <c r="I588" s="312">
        <f t="shared" si="48"/>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215753.13</v>
      </c>
      <c r="G589" s="79">
        <f t="shared" ref="G589:I589" si="49">SUM(G576:G588)</f>
        <v>159355.4</v>
      </c>
      <c r="H589" s="79">
        <f t="shared" si="49"/>
        <v>0</v>
      </c>
      <c r="I589" s="79">
        <f t="shared" si="49"/>
        <v>375108.52999999997</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330894.46000000002</v>
      </c>
      <c r="I592" s="18">
        <v>338663.3</v>
      </c>
      <c r="J592" s="18"/>
      <c r="K592" s="80">
        <f t="shared" ref="K592:K598" si="50">SUM(H592:J592)</f>
        <v>669557.76000000001</v>
      </c>
      <c r="L592" s="23" t="s">
        <v>288</v>
      </c>
      <c r="M592" s="8"/>
      <c r="N592" s="164"/>
    </row>
    <row r="593" spans="1:14" s="3" customFormat="1" ht="12.2" customHeight="1" x14ac:dyDescent="0.15">
      <c r="A593" s="3" t="s">
        <v>638</v>
      </c>
      <c r="B593" s="22">
        <v>23</v>
      </c>
      <c r="C593" s="22">
        <v>2</v>
      </c>
      <c r="D593" s="2" t="s">
        <v>432</v>
      </c>
      <c r="E593" s="22"/>
      <c r="F593" s="78">
        <v>2722</v>
      </c>
      <c r="G593" s="79" t="s">
        <v>97</v>
      </c>
      <c r="H593" s="18">
        <v>178711.14</v>
      </c>
      <c r="I593" s="18">
        <v>216083.7</v>
      </c>
      <c r="J593" s="18"/>
      <c r="K593" s="80">
        <f t="shared" si="50"/>
        <v>394794.84</v>
      </c>
      <c r="L593" s="23" t="s">
        <v>288</v>
      </c>
      <c r="M593" s="8"/>
      <c r="N593" s="164"/>
    </row>
    <row r="594" spans="1:14" s="3" customFormat="1" ht="12.2" customHeight="1" x14ac:dyDescent="0.15">
      <c r="A594" s="3" t="s">
        <v>639</v>
      </c>
      <c r="B594" s="22">
        <v>23</v>
      </c>
      <c r="C594" s="22">
        <v>3</v>
      </c>
      <c r="D594" s="2" t="s">
        <v>432</v>
      </c>
      <c r="E594" s="22"/>
      <c r="F594" s="78">
        <v>2723</v>
      </c>
      <c r="G594" s="79" t="s">
        <v>97</v>
      </c>
      <c r="H594" s="18">
        <v>0</v>
      </c>
      <c r="I594" s="18">
        <v>0</v>
      </c>
      <c r="J594" s="18"/>
      <c r="K594" s="80">
        <f t="shared" si="50"/>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v>0</v>
      </c>
      <c r="I595" s="18">
        <v>13253.15</v>
      </c>
      <c r="J595" s="18"/>
      <c r="K595" s="80">
        <f t="shared" si="50"/>
        <v>13253.15</v>
      </c>
      <c r="L595" s="23" t="s">
        <v>288</v>
      </c>
      <c r="M595" s="8"/>
      <c r="N595" s="164"/>
    </row>
    <row r="596" spans="1:14" s="3" customFormat="1" ht="12.2" customHeight="1" x14ac:dyDescent="0.15">
      <c r="A596" s="103" t="s">
        <v>652</v>
      </c>
      <c r="B596" s="22">
        <v>23</v>
      </c>
      <c r="C596" s="22">
        <v>5</v>
      </c>
      <c r="D596" s="2" t="s">
        <v>432</v>
      </c>
      <c r="E596" s="22"/>
      <c r="F596" s="78">
        <v>2725</v>
      </c>
      <c r="G596" s="79" t="s">
        <v>97</v>
      </c>
      <c r="H596" s="18">
        <v>5222.37</v>
      </c>
      <c r="I596" s="18">
        <v>3781.89</v>
      </c>
      <c r="J596" s="18"/>
      <c r="K596" s="80">
        <f t="shared" si="50"/>
        <v>9004.26</v>
      </c>
      <c r="L596" s="23" t="s">
        <v>288</v>
      </c>
      <c r="M596" s="8"/>
      <c r="N596" s="164"/>
    </row>
    <row r="597" spans="1:14" s="3" customFormat="1" ht="12.2" customHeight="1" x14ac:dyDescent="0.15">
      <c r="A597" s="21" t="s">
        <v>641</v>
      </c>
      <c r="B597" s="22">
        <v>23</v>
      </c>
      <c r="C597" s="22">
        <v>6</v>
      </c>
      <c r="D597" s="2" t="s">
        <v>432</v>
      </c>
      <c r="E597" s="22"/>
      <c r="F597" s="78">
        <v>2726</v>
      </c>
      <c r="G597" s="79" t="s">
        <v>97</v>
      </c>
      <c r="H597" s="18">
        <v>0</v>
      </c>
      <c r="I597" s="18">
        <v>0</v>
      </c>
      <c r="J597" s="18"/>
      <c r="K597" s="80">
        <f t="shared" si="50"/>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v>3549.3</v>
      </c>
      <c r="I598" s="18">
        <v>475.23</v>
      </c>
      <c r="J598" s="18"/>
      <c r="K598" s="80">
        <f t="shared" si="50"/>
        <v>4024.53</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518377.27</v>
      </c>
      <c r="I599" s="81">
        <f>SUM(I592:I598)</f>
        <v>572257.27</v>
      </c>
      <c r="J599" s="81">
        <f>SUM(J592:J598)</f>
        <v>0</v>
      </c>
      <c r="K599" s="81">
        <f>SUM(K592:K598)</f>
        <v>1090634.54</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v>0</v>
      </c>
      <c r="I603" s="18">
        <v>0</v>
      </c>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v>0</v>
      </c>
      <c r="I604" s="18">
        <v>0</v>
      </c>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81965.7+12940</f>
        <v>94905.7</v>
      </c>
      <c r="I605" s="18">
        <v>136871.44</v>
      </c>
      <c r="J605" s="18"/>
      <c r="K605" s="80">
        <f>SUM(H605:J605)</f>
        <v>231777.14</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94905.7</v>
      </c>
      <c r="I606" s="81">
        <f>SUM(I603:I605)</f>
        <v>136871.44</v>
      </c>
      <c r="J606" s="81">
        <f>SUM(J603:J605)</f>
        <v>0</v>
      </c>
      <c r="K606" s="81">
        <f>SUM(K603:K605)</f>
        <v>231777.14</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17845</v>
      </c>
      <c r="G612" s="18">
        <v>3425.67</v>
      </c>
      <c r="H612" s="18">
        <v>18786.509999999998</v>
      </c>
      <c r="I612" s="18">
        <v>0</v>
      </c>
      <c r="J612" s="18">
        <v>0</v>
      </c>
      <c r="K612" s="18">
        <v>0</v>
      </c>
      <c r="L612" s="69">
        <f>SUM(F612:K612)</f>
        <v>40057.179999999993</v>
      </c>
      <c r="M612" s="8"/>
      <c r="N612" s="164"/>
    </row>
    <row r="613" spans="1:14" s="3" customFormat="1" ht="12.2" customHeight="1" x14ac:dyDescent="0.15">
      <c r="A613" s="21" t="s">
        <v>634</v>
      </c>
      <c r="B613" s="22">
        <v>23</v>
      </c>
      <c r="C613" s="22">
        <v>14</v>
      </c>
      <c r="D613" s="2" t="s">
        <v>432</v>
      </c>
      <c r="E613" s="22"/>
      <c r="F613" s="18">
        <v>17617.3</v>
      </c>
      <c r="G613" s="18">
        <v>3351.51</v>
      </c>
      <c r="H613" s="18">
        <v>3500</v>
      </c>
      <c r="I613" s="18">
        <v>0</v>
      </c>
      <c r="J613" s="18">
        <v>0</v>
      </c>
      <c r="K613" s="18"/>
      <c r="L613" s="69">
        <f>SUM(F613:K613)</f>
        <v>24468.809999999998</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1">SUM(F612:F614)</f>
        <v>35462.300000000003</v>
      </c>
      <c r="G615" s="81">
        <f t="shared" si="51"/>
        <v>6777.18</v>
      </c>
      <c r="H615" s="81">
        <f t="shared" si="51"/>
        <v>22286.51</v>
      </c>
      <c r="I615" s="81">
        <f t="shared" si="51"/>
        <v>0</v>
      </c>
      <c r="J615" s="81">
        <f t="shared" si="51"/>
        <v>0</v>
      </c>
      <c r="K615" s="81">
        <f t="shared" si="51"/>
        <v>0</v>
      </c>
      <c r="L615" s="70">
        <f t="shared" si="51"/>
        <v>64525.989999999991</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898978.96000000008</v>
      </c>
      <c r="H618" s="80">
        <f>SUM(F52)</f>
        <v>898978.96</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20853.8</v>
      </c>
      <c r="H619" s="80">
        <f>SUM(G52)</f>
        <v>20853.800000000017</v>
      </c>
      <c r="I619" s="87" t="s">
        <v>872</v>
      </c>
      <c r="J619" s="80">
        <f>G619-H619</f>
        <v>0</v>
      </c>
      <c r="K619" s="80"/>
      <c r="L619" s="80"/>
      <c r="M619" s="8"/>
    </row>
    <row r="620" spans="1:14" s="3" customFormat="1" ht="12.2" customHeight="1" x14ac:dyDescent="0.15">
      <c r="A620" s="74"/>
      <c r="B620" s="22"/>
      <c r="C620" s="22"/>
      <c r="D620" s="22"/>
      <c r="E620" s="22"/>
      <c r="F620" s="87" t="s">
        <v>685</v>
      </c>
      <c r="G620" s="80">
        <f>SUM(H19)</f>
        <v>242602.38</v>
      </c>
      <c r="H620" s="80">
        <f>SUM(H52)</f>
        <v>242602.38</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1023165.91</v>
      </c>
      <c r="H622" s="80">
        <f>SUM(J52)</f>
        <v>1023165.91</v>
      </c>
      <c r="I622" s="87" t="s">
        <v>875</v>
      </c>
      <c r="J622" s="80">
        <f>G622-H622</f>
        <v>0</v>
      </c>
      <c r="K622" s="80"/>
      <c r="L622" s="80"/>
      <c r="M622" s="8"/>
    </row>
    <row r="623" spans="1:14" s="3" customFormat="1" ht="12.2" customHeight="1" x14ac:dyDescent="0.15">
      <c r="A623" s="74"/>
      <c r="B623" s="22"/>
      <c r="C623" s="22"/>
      <c r="D623" s="22"/>
      <c r="E623" s="22"/>
      <c r="F623" s="87" t="s">
        <v>861</v>
      </c>
      <c r="G623" s="80">
        <f>F51</f>
        <v>469648.01</v>
      </c>
      <c r="H623" s="80">
        <f>F477</f>
        <v>469648.00999999791</v>
      </c>
      <c r="I623" s="87" t="s">
        <v>101</v>
      </c>
      <c r="J623" s="80">
        <f t="shared" ref="J623:J656" si="52">G623-H623</f>
        <v>2.0954757928848267E-9</v>
      </c>
      <c r="K623" s="80"/>
      <c r="L623" s="80"/>
      <c r="M623" s="8"/>
    </row>
    <row r="624" spans="1:14" s="3" customFormat="1" ht="12.2" customHeight="1" x14ac:dyDescent="0.15">
      <c r="A624" s="74"/>
      <c r="B624" s="22"/>
      <c r="C624" s="85"/>
      <c r="D624" s="85"/>
      <c r="E624" s="85"/>
      <c r="F624" s="85" t="s">
        <v>862</v>
      </c>
      <c r="G624" s="80">
        <f>G51</f>
        <v>253777.64</v>
      </c>
      <c r="H624" s="80">
        <f>G477</f>
        <v>253777.64000000025</v>
      </c>
      <c r="I624" s="87" t="s">
        <v>102</v>
      </c>
      <c r="J624" s="80">
        <f t="shared" si="52"/>
        <v>-2.3283064365386963E-10</v>
      </c>
      <c r="K624" s="80"/>
      <c r="L624" s="80"/>
      <c r="M624" s="8"/>
    </row>
    <row r="625" spans="1:13" s="3" customFormat="1" ht="12.2" customHeight="1" x14ac:dyDescent="0.15">
      <c r="A625" s="74"/>
      <c r="B625" s="22"/>
      <c r="C625" s="22"/>
      <c r="D625" s="22"/>
      <c r="E625" s="22"/>
      <c r="F625" s="86" t="s">
        <v>863</v>
      </c>
      <c r="G625" s="80">
        <f>H51</f>
        <v>8696.34</v>
      </c>
      <c r="H625" s="80">
        <f>H477</f>
        <v>8696.3400000000838</v>
      </c>
      <c r="I625" s="87" t="s">
        <v>103</v>
      </c>
      <c r="J625" s="80">
        <f t="shared" si="52"/>
        <v>-8.3673512563109398E-11</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2"/>
        <v>0</v>
      </c>
      <c r="K626" s="80"/>
      <c r="L626" s="80"/>
      <c r="M626" s="8"/>
    </row>
    <row r="627" spans="1:13" s="3" customFormat="1" ht="12.2" customHeight="1" x14ac:dyDescent="0.15">
      <c r="A627" s="21"/>
      <c r="B627" s="22"/>
      <c r="C627" s="22"/>
      <c r="D627" s="22"/>
      <c r="E627" s="22"/>
      <c r="F627" s="86" t="s">
        <v>865</v>
      </c>
      <c r="G627" s="80">
        <f>J51</f>
        <v>1023165.91</v>
      </c>
      <c r="H627" s="80">
        <f>J477</f>
        <v>1023165.9100000001</v>
      </c>
      <c r="I627" s="87" t="s">
        <v>105</v>
      </c>
      <c r="J627" s="80">
        <f t="shared" si="52"/>
        <v>0</v>
      </c>
      <c r="K627" s="67"/>
      <c r="L627" s="69"/>
      <c r="M627" s="8"/>
    </row>
    <row r="628" spans="1:13" s="3" customFormat="1" ht="12.2" customHeight="1" x14ac:dyDescent="0.15">
      <c r="A628" s="21"/>
      <c r="B628" s="22"/>
      <c r="C628" s="22"/>
      <c r="D628" s="22"/>
      <c r="E628" s="22"/>
      <c r="F628" s="86" t="s">
        <v>658</v>
      </c>
      <c r="G628" s="80">
        <f>F194</f>
        <v>16916604.330000002</v>
      </c>
      <c r="H628" s="80">
        <f>SUM(F469)</f>
        <v>16916604.330000002</v>
      </c>
      <c r="I628" s="87" t="s">
        <v>106</v>
      </c>
      <c r="J628" s="80">
        <f>G628-H628</f>
        <v>0</v>
      </c>
      <c r="K628" s="67"/>
      <c r="L628" s="69"/>
      <c r="M628" s="8"/>
    </row>
    <row r="629" spans="1:13" s="3" customFormat="1" ht="12.2" customHeight="1" x14ac:dyDescent="0.15">
      <c r="A629" s="21"/>
      <c r="B629" s="22"/>
      <c r="C629" s="22"/>
      <c r="D629" s="22"/>
      <c r="E629" s="22"/>
      <c r="F629" s="86" t="s">
        <v>659</v>
      </c>
      <c r="G629" s="80">
        <f>G194</f>
        <v>430603.15</v>
      </c>
      <c r="H629" s="80">
        <f>SUM(G469)</f>
        <v>430603.15</v>
      </c>
      <c r="I629" s="87" t="s">
        <v>107</v>
      </c>
      <c r="J629" s="80">
        <f>G629-H629</f>
        <v>0</v>
      </c>
      <c r="K629" s="67"/>
      <c r="L629" s="69"/>
      <c r="M629" s="8"/>
    </row>
    <row r="630" spans="1:13" s="3" customFormat="1" ht="12.2" customHeight="1" x14ac:dyDescent="0.15">
      <c r="A630" s="21"/>
      <c r="B630" s="22"/>
      <c r="C630" s="22"/>
      <c r="D630" s="22"/>
      <c r="E630" s="22"/>
      <c r="F630" s="86" t="s">
        <v>660</v>
      </c>
      <c r="G630" s="80">
        <f>H194</f>
        <v>887003.26</v>
      </c>
      <c r="H630" s="80">
        <f>SUM(H469)</f>
        <v>887003.26</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1024.02</v>
      </c>
      <c r="H632" s="80">
        <f>SUM(J469)</f>
        <v>1024.02</v>
      </c>
      <c r="I632" s="87" t="s">
        <v>110</v>
      </c>
      <c r="J632" s="80">
        <f>G632-H632</f>
        <v>0</v>
      </c>
      <c r="K632" s="67"/>
      <c r="L632" s="69"/>
      <c r="M632" s="8"/>
    </row>
    <row r="633" spans="1:13" s="3" customFormat="1" ht="12.2" customHeight="1" x14ac:dyDescent="0.15">
      <c r="A633" s="21"/>
      <c r="B633" s="22"/>
      <c r="C633" s="22"/>
      <c r="D633" s="22"/>
      <c r="E633" s="22"/>
      <c r="F633" s="86" t="s">
        <v>394</v>
      </c>
      <c r="G633" s="80">
        <f>SUM(L272)</f>
        <v>17094203.780000001</v>
      </c>
      <c r="H633" s="80">
        <f>SUM(F473)</f>
        <v>17094203.780000001</v>
      </c>
      <c r="I633" s="87" t="s">
        <v>111</v>
      </c>
      <c r="J633" s="80">
        <f t="shared" si="52"/>
        <v>0</v>
      </c>
      <c r="K633" s="67"/>
      <c r="L633" s="69"/>
      <c r="M633" s="8"/>
    </row>
    <row r="634" spans="1:13" s="3" customFormat="1" ht="12.2" customHeight="1" x14ac:dyDescent="0.15">
      <c r="A634" s="21"/>
      <c r="B634" s="22"/>
      <c r="C634" s="22"/>
      <c r="D634" s="22"/>
      <c r="E634" s="22"/>
      <c r="F634" s="86" t="s">
        <v>395</v>
      </c>
      <c r="G634" s="80">
        <f>SUM(L353)</f>
        <v>887003.25999999989</v>
      </c>
      <c r="H634" s="80">
        <f>SUM(H473)</f>
        <v>887003.25999999989</v>
      </c>
      <c r="I634" s="87" t="s">
        <v>112</v>
      </c>
      <c r="J634" s="80">
        <f>G634-H634</f>
        <v>0</v>
      </c>
      <c r="K634" s="67"/>
      <c r="L634" s="69"/>
      <c r="M634" s="8"/>
    </row>
    <row r="635" spans="1:13" s="124" customFormat="1" ht="12.2" customHeight="1" x14ac:dyDescent="0.15">
      <c r="A635" s="21"/>
      <c r="B635" s="22"/>
      <c r="C635" s="22"/>
      <c r="D635" s="22"/>
      <c r="E635" s="22"/>
      <c r="F635" s="99" t="s">
        <v>247</v>
      </c>
      <c r="G635" s="80">
        <f>I363</f>
        <v>2893.8199999999997</v>
      </c>
      <c r="H635" s="80">
        <f>I370</f>
        <v>2893.8199999999997</v>
      </c>
      <c r="I635" s="100" t="s">
        <v>248</v>
      </c>
      <c r="J635" s="80">
        <f>G635-H635</f>
        <v>0</v>
      </c>
      <c r="K635" s="67"/>
      <c r="L635" s="69"/>
      <c r="M635" s="123"/>
    </row>
    <row r="636" spans="1:13" s="124" customFormat="1" ht="12.2" customHeight="1" x14ac:dyDescent="0.15">
      <c r="A636" s="21"/>
      <c r="B636" s="22"/>
      <c r="C636" s="22"/>
      <c r="D636" s="22"/>
      <c r="E636" s="22"/>
      <c r="F636" s="86" t="s">
        <v>113</v>
      </c>
      <c r="G636" s="80">
        <f>SUM(L363)</f>
        <v>408132.28999999992</v>
      </c>
      <c r="H636" s="80">
        <f>SUM(G473)</f>
        <v>408132.28999999992</v>
      </c>
      <c r="I636" s="87" t="s">
        <v>114</v>
      </c>
      <c r="J636" s="80">
        <f t="shared" si="52"/>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2"/>
        <v>0</v>
      </c>
      <c r="K637" s="67"/>
      <c r="L637" s="69"/>
      <c r="M637" s="8"/>
    </row>
    <row r="638" spans="1:13" s="3" customFormat="1" ht="12.2" customHeight="1" x14ac:dyDescent="0.15">
      <c r="A638" s="117"/>
      <c r="B638" s="118"/>
      <c r="C638" s="118"/>
      <c r="D638" s="118"/>
      <c r="E638" s="118"/>
      <c r="F638" s="119" t="s">
        <v>477</v>
      </c>
      <c r="G638" s="108">
        <f>SUM(L409)</f>
        <v>1024.02</v>
      </c>
      <c r="H638" s="108">
        <f>SUM(J469)</f>
        <v>1024.02</v>
      </c>
      <c r="I638" s="120" t="s">
        <v>110</v>
      </c>
      <c r="J638" s="108">
        <f t="shared" si="52"/>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2"/>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2"/>
        <v>0</v>
      </c>
      <c r="K640" s="67"/>
      <c r="L640" s="69"/>
      <c r="M640" s="8"/>
    </row>
    <row r="641" spans="1:13" s="3" customFormat="1" ht="12.2" customHeight="1" x14ac:dyDescent="0.15">
      <c r="A641" s="21"/>
      <c r="B641" s="22"/>
      <c r="C641" s="22"/>
      <c r="D641" s="22"/>
      <c r="E641" s="22"/>
      <c r="F641" s="86" t="s">
        <v>119</v>
      </c>
      <c r="G641" s="80">
        <f>SUM(G447)</f>
        <v>1023165.91</v>
      </c>
      <c r="H641" s="80">
        <f>SUM(G462)</f>
        <v>1023165.91</v>
      </c>
      <c r="I641" s="87" t="s">
        <v>838</v>
      </c>
      <c r="J641" s="80">
        <f t="shared" si="52"/>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2"/>
        <v>0</v>
      </c>
      <c r="K642" s="67"/>
      <c r="L642" s="69"/>
      <c r="M642" s="8"/>
    </row>
    <row r="643" spans="1:13" s="3" customFormat="1" ht="12.2" customHeight="1" x14ac:dyDescent="0.15">
      <c r="A643" s="21"/>
      <c r="B643" s="22"/>
      <c r="C643" s="22"/>
      <c r="D643" s="22"/>
      <c r="E643" s="22"/>
      <c r="F643" s="86" t="s">
        <v>121</v>
      </c>
      <c r="G643" s="80">
        <f>SUM(I447)</f>
        <v>1023165.91</v>
      </c>
      <c r="H643" s="80">
        <f>SUM(I462)</f>
        <v>1023165.91</v>
      </c>
      <c r="I643" s="87" t="s">
        <v>840</v>
      </c>
      <c r="J643" s="80">
        <f t="shared" si="52"/>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2"/>
        <v>0</v>
      </c>
      <c r="K644" s="67"/>
      <c r="L644" s="69"/>
      <c r="M644" s="8"/>
    </row>
    <row r="645" spans="1:13" s="3" customFormat="1" ht="12.2" customHeight="1" x14ac:dyDescent="0.15">
      <c r="A645" s="21"/>
      <c r="B645" s="22"/>
      <c r="C645" s="22"/>
      <c r="D645" s="22"/>
      <c r="E645" s="22"/>
      <c r="F645" s="86" t="s">
        <v>663</v>
      </c>
      <c r="G645" s="80">
        <f>J96</f>
        <v>1024.02</v>
      </c>
      <c r="H645" s="80">
        <f>H409</f>
        <v>1024.02</v>
      </c>
      <c r="I645" s="87" t="s">
        <v>480</v>
      </c>
      <c r="J645" s="80">
        <f t="shared" si="52"/>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2"/>
        <v>0</v>
      </c>
      <c r="K646" s="67"/>
      <c r="L646" s="69"/>
      <c r="M646" s="8"/>
    </row>
    <row r="647" spans="1:13" s="3" customFormat="1" ht="12.2" customHeight="1" x14ac:dyDescent="0.15">
      <c r="A647" s="21"/>
      <c r="B647" s="22"/>
      <c r="C647" s="22"/>
      <c r="D647" s="22"/>
      <c r="E647" s="22"/>
      <c r="F647" s="86" t="s">
        <v>662</v>
      </c>
      <c r="G647" s="80">
        <f>J194</f>
        <v>1024.02</v>
      </c>
      <c r="H647" s="80">
        <f>L409</f>
        <v>1024.02</v>
      </c>
      <c r="I647" s="87" t="s">
        <v>477</v>
      </c>
      <c r="J647" s="80">
        <f t="shared" si="52"/>
        <v>0</v>
      </c>
      <c r="K647" s="67"/>
      <c r="L647" s="69"/>
      <c r="M647" s="8"/>
    </row>
    <row r="648" spans="1:13" s="3" customFormat="1" ht="12.2" customHeight="1" x14ac:dyDescent="0.15">
      <c r="A648" s="21"/>
      <c r="B648" s="22"/>
      <c r="C648" s="22"/>
      <c r="D648" s="22"/>
      <c r="E648" s="22"/>
      <c r="F648" s="86" t="s">
        <v>51</v>
      </c>
      <c r="G648" s="80">
        <f>K599</f>
        <v>1090634.54</v>
      </c>
      <c r="H648" s="80">
        <f>L209+L227+L245</f>
        <v>1090634.54</v>
      </c>
      <c r="I648" s="87" t="s">
        <v>396</v>
      </c>
      <c r="J648" s="80">
        <f t="shared" si="52"/>
        <v>0</v>
      </c>
      <c r="K648" s="67"/>
      <c r="L648" s="69"/>
      <c r="M648" s="8"/>
    </row>
    <row r="649" spans="1:13" s="3" customFormat="1" ht="12.2" customHeight="1" x14ac:dyDescent="0.15">
      <c r="A649" s="21"/>
      <c r="B649" s="22"/>
      <c r="C649" s="22"/>
      <c r="D649" s="22"/>
      <c r="E649" s="22"/>
      <c r="F649" s="86" t="s">
        <v>52</v>
      </c>
      <c r="G649" s="80">
        <f>K606</f>
        <v>231777.14</v>
      </c>
      <c r="H649" s="80">
        <f>(J258+J339)-(J256+J337)</f>
        <v>231777.14</v>
      </c>
      <c r="I649" s="87" t="s">
        <v>699</v>
      </c>
      <c r="J649" s="80">
        <f t="shared" si="52"/>
        <v>0</v>
      </c>
      <c r="K649" s="67"/>
      <c r="L649" s="69"/>
      <c r="M649" s="8"/>
    </row>
    <row r="650" spans="1:13" s="3" customFormat="1" ht="12.2" customHeight="1" x14ac:dyDescent="0.15">
      <c r="A650" s="21"/>
      <c r="B650" s="22"/>
      <c r="C650" s="22"/>
      <c r="D650" s="22"/>
      <c r="E650" s="22"/>
      <c r="F650" s="86" t="s">
        <v>387</v>
      </c>
      <c r="G650" s="80">
        <f>L209</f>
        <v>518377.27</v>
      </c>
      <c r="H650" s="80">
        <f>H599</f>
        <v>518377.27</v>
      </c>
      <c r="I650" s="87" t="s">
        <v>388</v>
      </c>
      <c r="J650" s="80">
        <f t="shared" si="52"/>
        <v>0</v>
      </c>
      <c r="K650" s="67"/>
      <c r="L650" s="69"/>
      <c r="M650" s="8"/>
    </row>
    <row r="651" spans="1:13" s="3" customFormat="1" ht="12.2" customHeight="1" x14ac:dyDescent="0.15">
      <c r="A651" s="21"/>
      <c r="B651" s="22"/>
      <c r="C651" s="22"/>
      <c r="D651" s="22"/>
      <c r="E651" s="22"/>
      <c r="F651" s="86" t="s">
        <v>392</v>
      </c>
      <c r="G651" s="80">
        <f>L227</f>
        <v>572257.27</v>
      </c>
      <c r="H651" s="80">
        <f>I599</f>
        <v>572257.27</v>
      </c>
      <c r="I651" s="87" t="s">
        <v>389</v>
      </c>
      <c r="J651" s="80">
        <f t="shared" si="52"/>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2"/>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2"/>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2"/>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2"/>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2"/>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8120565.7600000007</v>
      </c>
      <c r="G661" s="13">
        <f>(L230+L310+L360)</f>
        <v>9234109.5899999999</v>
      </c>
      <c r="H661" s="13">
        <f>(L248+L329+L361)</f>
        <v>0</v>
      </c>
      <c r="I661" s="13">
        <f>SUM(F661:H661)</f>
        <v>17354675.350000001</v>
      </c>
      <c r="J661" s="13"/>
      <c r="K661" s="13"/>
      <c r="L661" s="13"/>
      <c r="M661" s="9"/>
    </row>
    <row r="662" spans="1:13" s="3" customFormat="1" ht="12.2" customHeight="1" x14ac:dyDescent="0.2">
      <c r="A662" s="1" t="s">
        <v>127</v>
      </c>
      <c r="F662" s="13">
        <f>(L359/IF(SUM(L359:L361)=0,1,SUM(L359:L361))*(SUM(G97:G110)))</f>
        <v>192245.36290889338</v>
      </c>
      <c r="G662" s="13">
        <f>(L360/IF(SUM(L359:L361)=0,1,SUM(L359:L361))*(SUM(G97:G110)))</f>
        <v>94419.227091106673</v>
      </c>
      <c r="H662" s="13">
        <f>(L361/IF(SUM(L359:L361)=0,1,SUM(L359:L361))*(SUM(G97:G110)))</f>
        <v>0</v>
      </c>
      <c r="I662" s="13">
        <f>SUM(F662:H662)</f>
        <v>286664.59000000008</v>
      </c>
      <c r="J662"/>
      <c r="K662" s="13"/>
      <c r="L662" s="13"/>
      <c r="M662" s="8"/>
    </row>
    <row r="663" spans="1:13" s="3" customFormat="1" ht="12.2" customHeight="1" x14ac:dyDescent="0.2">
      <c r="A663" s="1" t="s">
        <v>128</v>
      </c>
      <c r="F663" s="13">
        <f>(L209+L288)-(J209+J288)</f>
        <v>518377.27</v>
      </c>
      <c r="G663" s="13">
        <f>(L227+L307)-(J227+J307)</f>
        <v>572257.27</v>
      </c>
      <c r="H663" s="13">
        <f>(L245+L326)-(J245+J326)</f>
        <v>0</v>
      </c>
      <c r="I663" s="13">
        <f>SUM(F663:H663)</f>
        <v>1090634.54</v>
      </c>
      <c r="J663"/>
      <c r="K663" s="13"/>
      <c r="L663" s="13"/>
      <c r="M663" s="9"/>
    </row>
    <row r="664" spans="1:13" s="3" customFormat="1" ht="12.2" customHeight="1" x14ac:dyDescent="0.15">
      <c r="A664" s="141" t="s">
        <v>129</v>
      </c>
      <c r="B664" s="124"/>
      <c r="C664" s="124"/>
      <c r="D664" s="124"/>
      <c r="E664" s="124"/>
      <c r="F664" s="142">
        <f>SUM(F576:F588)+SUM(H603:H605)+SUM(L612)</f>
        <v>350716.01</v>
      </c>
      <c r="G664" s="142">
        <f>SUM(G576:G588)+SUM(I603:I605)+L613</f>
        <v>320695.64999999997</v>
      </c>
      <c r="H664" s="142">
        <f>SUM(H576:H588)+SUM(J603:J605)+L614</f>
        <v>0</v>
      </c>
      <c r="I664" s="13">
        <f>SUM(F664:H664)</f>
        <v>671411.65999999992</v>
      </c>
      <c r="J664" s="13"/>
      <c r="K664" s="13"/>
      <c r="L664" s="13"/>
      <c r="M664" s="9"/>
    </row>
    <row r="665" spans="1:13" s="3" customFormat="1" ht="12.2" customHeight="1" x14ac:dyDescent="0.15">
      <c r="A665" s="1" t="s">
        <v>130</v>
      </c>
      <c r="F665" s="13">
        <f>F661-SUM(F662:F664)</f>
        <v>7059227.1170911072</v>
      </c>
      <c r="G665" s="13">
        <f>G661-SUM(G662:G664)</f>
        <v>8246737.4429088933</v>
      </c>
      <c r="H665" s="13">
        <f>H661-SUM(H662:H664)</f>
        <v>0</v>
      </c>
      <c r="I665" s="13">
        <f>I661-SUM(I662:I664)</f>
        <v>15305964.560000002</v>
      </c>
      <c r="J665" s="13"/>
      <c r="K665" s="13"/>
      <c r="L665" s="13"/>
      <c r="M665" s="8"/>
    </row>
    <row r="666" spans="1:13" s="3" customFormat="1" ht="12.2" customHeight="1" x14ac:dyDescent="0.2">
      <c r="A666" s="1" t="s">
        <v>131</v>
      </c>
      <c r="F666" s="182">
        <v>343.57</v>
      </c>
      <c r="G666" s="183">
        <v>476.83</v>
      </c>
      <c r="H666" s="183"/>
      <c r="I666" s="13">
        <f>SUM(F666:H666)</f>
        <v>820.4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20546.689999999999</v>
      </c>
      <c r="G668" s="13">
        <f>ROUND(G665/G666,2)</f>
        <v>17294.919999999998</v>
      </c>
      <c r="H668" s="13" t="e">
        <f>ROUND(H665/H666,2)</f>
        <v>#DIV/0!</v>
      </c>
      <c r="I668" s="13">
        <f>ROUND(I665/I666,2)</f>
        <v>18656.71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3">IF(AND(F666=0,F665&gt;0),F665*-1,"")</f>
        <v/>
      </c>
      <c r="G670" s="73" t="str">
        <f t="shared" si="53"/>
        <v/>
      </c>
      <c r="H670" s="73" t="str">
        <f t="shared" si="53"/>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20546.689999999999</v>
      </c>
      <c r="G673" s="13">
        <f>ROUND((G665+G670)/(G666+G671),2)</f>
        <v>17294.919999999998</v>
      </c>
      <c r="H673" s="13" t="e">
        <f>ROUND((H665+H670)/(H666+H671),2)</f>
        <v>#DIV/0!</v>
      </c>
      <c r="I673" s="13">
        <f>ROUND((I665+I670)/(I666+I671),2)</f>
        <v>18656.71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94764.35</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42959.38</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c r="F13" s="271" t="s">
        <v>1614</v>
      </c>
    </row>
    <row r="14" spans="2:8" x14ac:dyDescent="0.25">
      <c r="B14" s="270"/>
      <c r="C14" s="270"/>
      <c r="D14" s="271"/>
      <c r="E14" s="270"/>
      <c r="F14" s="270"/>
    </row>
    <row r="15" spans="2:8" x14ac:dyDescent="0.25">
      <c r="B15" s="270"/>
      <c r="C15" s="271" t="s">
        <v>1608</v>
      </c>
      <c r="D15" s="271" t="s">
        <v>1621</v>
      </c>
      <c r="E15" s="259">
        <v>51804.97</v>
      </c>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Weare</v>
      </c>
      <c r="C5" s="321"/>
      <c r="D5" s="321"/>
      <c r="E5" s="321"/>
      <c r="F5" s="321"/>
    </row>
    <row r="8" spans="1:9" ht="18" x14ac:dyDescent="0.25">
      <c r="A8" s="239" t="s">
        <v>1548</v>
      </c>
      <c r="F8" s="246" t="s">
        <v>1566</v>
      </c>
    </row>
    <row r="9" spans="1:9" ht="15" x14ac:dyDescent="0.2">
      <c r="A9" s="237" t="s">
        <v>1549</v>
      </c>
      <c r="B9" s="240">
        <f>'DOE25'!G97</f>
        <v>286664.59000000003</v>
      </c>
      <c r="F9" s="237" t="s">
        <v>1562</v>
      </c>
    </row>
    <row r="10" spans="1:9" ht="15" x14ac:dyDescent="0.2">
      <c r="A10" s="237" t="s">
        <v>1550</v>
      </c>
      <c r="B10" s="240">
        <f>'DOE25'!G112-'DOE25'!G97</f>
        <v>0</v>
      </c>
      <c r="F10" s="237" t="s">
        <v>1563</v>
      </c>
    </row>
    <row r="11" spans="1:9" ht="15" x14ac:dyDescent="0.2">
      <c r="A11" s="237" t="s">
        <v>1551</v>
      </c>
      <c r="B11" s="240">
        <f>'DOE25'!G140</f>
        <v>6481.04</v>
      </c>
      <c r="F11" s="237" t="s">
        <v>1564</v>
      </c>
    </row>
    <row r="12" spans="1:9" ht="15" x14ac:dyDescent="0.2">
      <c r="A12" s="237" t="s">
        <v>1552</v>
      </c>
      <c r="B12" s="240">
        <f>'DOE25'!G170</f>
        <v>137457.51999999999</v>
      </c>
      <c r="F12" s="237" t="s">
        <v>1565</v>
      </c>
    </row>
    <row r="13" spans="1:9" ht="15" x14ac:dyDescent="0.2">
      <c r="A13" s="237" t="s">
        <v>1553</v>
      </c>
      <c r="B13" s="240">
        <f>'DOE25'!G193-'DOE25'!G180</f>
        <v>0</v>
      </c>
      <c r="F13" s="237" t="s">
        <v>1575</v>
      </c>
    </row>
    <row r="14" spans="1:9" ht="18" x14ac:dyDescent="0.25">
      <c r="A14" s="239" t="s">
        <v>732</v>
      </c>
      <c r="B14" s="241">
        <f>SUM(B9:B13)</f>
        <v>430603.15</v>
      </c>
    </row>
    <row r="16" spans="1:9" ht="18" x14ac:dyDescent="0.25">
      <c r="A16" s="239" t="s">
        <v>783</v>
      </c>
      <c r="F16" s="246" t="s">
        <v>1567</v>
      </c>
    </row>
    <row r="17" spans="1:6" ht="15" x14ac:dyDescent="0.2">
      <c r="A17" s="237" t="s">
        <v>1554</v>
      </c>
      <c r="B17" s="240">
        <f>'DOE25'!L363-'DOE25'!L362</f>
        <v>408132.28999999992</v>
      </c>
      <c r="F17" s="237" t="s">
        <v>1568</v>
      </c>
    </row>
    <row r="18" spans="1:6" ht="15" x14ac:dyDescent="0.2">
      <c r="A18" s="237" t="s">
        <v>1555</v>
      </c>
      <c r="B18" s="250"/>
      <c r="F18" s="246" t="s">
        <v>1592</v>
      </c>
    </row>
    <row r="19" spans="1:6" ht="18" x14ac:dyDescent="0.25">
      <c r="A19" s="239" t="s">
        <v>725</v>
      </c>
      <c r="B19" s="241">
        <f>SUM(B17:B18)</f>
        <v>408132.28999999992</v>
      </c>
    </row>
    <row r="21" spans="1:6" ht="18.75" thickBot="1" x14ac:dyDescent="0.3">
      <c r="A21" s="239" t="s">
        <v>1556</v>
      </c>
    </row>
    <row r="22" spans="1:6" ht="18.75" thickTop="1" x14ac:dyDescent="0.25">
      <c r="A22" s="239" t="s">
        <v>1557</v>
      </c>
      <c r="B22" s="245">
        <f>B14-B19</f>
        <v>22470.860000000102</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231306.78000000014</v>
      </c>
      <c r="F31" s="237" t="s">
        <v>1572</v>
      </c>
    </row>
    <row r="33" spans="1:6" ht="15" x14ac:dyDescent="0.2">
      <c r="A33" s="237" t="s">
        <v>1790</v>
      </c>
      <c r="B33" s="240">
        <f>'DOE25'!G477</f>
        <v>253777.64000000025</v>
      </c>
      <c r="F33" s="237" t="s">
        <v>1573</v>
      </c>
    </row>
    <row r="36" spans="1:6" ht="15" x14ac:dyDescent="0.2">
      <c r="A36" s="237" t="s">
        <v>1559</v>
      </c>
      <c r="B36" s="251">
        <f>7300.29+16978.59</f>
        <v>24278.880000000001</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I23" sqref="I23"/>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Weare</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4153271.02</v>
      </c>
      <c r="C9" s="166">
        <f>'DOE25'!G198+'DOE25'!G216+'DOE25'!G234+'DOE25'!G277+'DOE25'!G296+'DOE25'!G315</f>
        <v>2076732.5099999998</v>
      </c>
    </row>
    <row r="10" spans="1:3" x14ac:dyDescent="0.2">
      <c r="A10" t="s">
        <v>772</v>
      </c>
      <c r="B10" s="176">
        <f>3703443.39+27429.94</f>
        <v>3730873.33</v>
      </c>
      <c r="C10" s="176">
        <v>2039096.16</v>
      </c>
    </row>
    <row r="11" spans="1:3" x14ac:dyDescent="0.2">
      <c r="A11" t="s">
        <v>773</v>
      </c>
      <c r="B11" s="176">
        <f>287905.09+300</f>
        <v>288205.09000000003</v>
      </c>
      <c r="C11" s="176">
        <v>25009.27</v>
      </c>
    </row>
    <row r="12" spans="1:3" x14ac:dyDescent="0.2">
      <c r="A12" t="s">
        <v>774</v>
      </c>
      <c r="B12" s="176">
        <v>134192.6</v>
      </c>
      <c r="C12" s="176">
        <v>12627.08</v>
      </c>
    </row>
    <row r="13" spans="1:3" x14ac:dyDescent="0.2">
      <c r="A13" t="str">
        <f>IF(B9=B13,IF(C9=C13,"Check Total OK","Check Total Error"),"Check Total Error")</f>
        <v>Check Total OK</v>
      </c>
      <c r="B13" s="168">
        <f>SUM(B10:B12)</f>
        <v>4153271.02</v>
      </c>
      <c r="C13" s="168">
        <f>SUM(C10:C12)</f>
        <v>2076732.51</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1872930.8</v>
      </c>
      <c r="C18" s="166">
        <f>'DOE25'!G199+'DOE25'!G217+'DOE25'!G235+'DOE25'!G278+'DOE25'!G297+'DOE25'!G316</f>
        <v>641404.16999999993</v>
      </c>
    </row>
    <row r="19" spans="1:3" x14ac:dyDescent="0.2">
      <c r="A19" t="s">
        <v>772</v>
      </c>
      <c r="B19" s="176">
        <v>1028210.31</v>
      </c>
      <c r="C19" s="176">
        <v>569203.29</v>
      </c>
    </row>
    <row r="20" spans="1:3" x14ac:dyDescent="0.2">
      <c r="A20" t="s">
        <v>773</v>
      </c>
      <c r="B20" s="176">
        <v>768386.49</v>
      </c>
      <c r="C20" s="176">
        <v>62572.97</v>
      </c>
    </row>
    <row r="21" spans="1:3" x14ac:dyDescent="0.2">
      <c r="A21" t="s">
        <v>774</v>
      </c>
      <c r="B21" s="176">
        <v>76334</v>
      </c>
      <c r="C21" s="176">
        <v>9627.91</v>
      </c>
    </row>
    <row r="22" spans="1:3" x14ac:dyDescent="0.2">
      <c r="A22" t="str">
        <f>IF(B18=B22,IF(C18=C22,"Check Total OK","Check Total Error"),"Check Total Error")</f>
        <v>Check Total OK</v>
      </c>
      <c r="B22" s="168">
        <f>SUM(B19:B21)</f>
        <v>1872930.8</v>
      </c>
      <c r="C22" s="168">
        <f>SUM(C19:C21)</f>
        <v>641404.17000000004</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73521.070000000007</v>
      </c>
      <c r="C36" s="172">
        <f>'DOE25'!G201+'DOE25'!G219+'DOE25'!G237+'DOE25'!G280+'DOE25'!G299+'DOE25'!G318</f>
        <v>16997.34</v>
      </c>
    </row>
    <row r="37" spans="1:3" x14ac:dyDescent="0.2">
      <c r="A37" t="s">
        <v>772</v>
      </c>
      <c r="B37" s="176">
        <v>73521.070000000007</v>
      </c>
      <c r="C37" s="176">
        <v>11388.22</v>
      </c>
    </row>
    <row r="38" spans="1:3" x14ac:dyDescent="0.2">
      <c r="A38" t="s">
        <v>773</v>
      </c>
      <c r="B38" s="176"/>
      <c r="C38" s="176"/>
    </row>
    <row r="39" spans="1:3" x14ac:dyDescent="0.2">
      <c r="A39" t="s">
        <v>774</v>
      </c>
      <c r="B39" s="176">
        <v>0</v>
      </c>
      <c r="C39" s="176">
        <v>5609.12</v>
      </c>
    </row>
    <row r="40" spans="1:3" x14ac:dyDescent="0.2">
      <c r="A40" t="str">
        <f>IF(B36=B40,IF(C36=C40,"Check Total OK","Check Total Error"),"Check Total Error")</f>
        <v>Check Total OK</v>
      </c>
      <c r="B40" s="168">
        <f>SUM(B37:B39)</f>
        <v>73521.070000000007</v>
      </c>
      <c r="C40" s="168">
        <f>SUM(C37:C39)</f>
        <v>16997.34</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F40" sqref="F4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Weare</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9779129.5800000019</v>
      </c>
      <c r="D5" s="19">
        <f>SUM('DOE25'!L198:L201)+SUM('DOE25'!L216:L219)+SUM('DOE25'!L234:L237)-F5-G5-H5</f>
        <v>9389142.2500000019</v>
      </c>
      <c r="E5" s="179"/>
      <c r="F5" s="180">
        <v>345598.3</v>
      </c>
      <c r="G5" s="19">
        <f>SUM('DOE25'!J198:J201)+SUM('DOE25'!J216:J219)+SUM('DOE25'!J234:J237)</f>
        <v>36825.759999999995</v>
      </c>
      <c r="H5" s="19">
        <f>SUM('DOE25'!K198:K201)+SUM('DOE25'!K216:K219)+SUM('DOE25'!K234:K237)</f>
        <v>7563.2699999999995</v>
      </c>
      <c r="I5" s="191"/>
    </row>
    <row r="6" spans="1:9" x14ac:dyDescent="0.2">
      <c r="A6" s="31">
        <v>2100</v>
      </c>
      <c r="B6" t="s">
        <v>793</v>
      </c>
      <c r="C6" s="205">
        <f t="shared" si="0"/>
        <v>1322948.47</v>
      </c>
      <c r="D6" s="19">
        <f>'DOE25'!L203+'DOE25'!L221+'DOE25'!L239-F6-G6-H6</f>
        <v>906942.79999999993</v>
      </c>
      <c r="E6" s="179"/>
      <c r="F6" s="180">
        <v>413547.07</v>
      </c>
      <c r="G6" s="19">
        <f>'DOE25'!J203+'DOE25'!J221+'DOE25'!J239</f>
        <v>2458.6</v>
      </c>
      <c r="H6" s="19">
        <f>'DOE25'!K203+'DOE25'!K221+'DOE25'!K239</f>
        <v>0</v>
      </c>
      <c r="I6" s="191"/>
    </row>
    <row r="7" spans="1:9" x14ac:dyDescent="0.2">
      <c r="A7" s="31">
        <v>2200</v>
      </c>
      <c r="B7" t="s">
        <v>817</v>
      </c>
      <c r="C7" s="205">
        <f t="shared" si="0"/>
        <v>715589.45000000007</v>
      </c>
      <c r="D7" s="19">
        <f>'DOE25'!L204+'DOE25'!L222+'DOE25'!L240-F7-G7-H7</f>
        <v>463745.00000000012</v>
      </c>
      <c r="E7" s="179"/>
      <c r="F7" s="180"/>
      <c r="G7" s="19">
        <f>'DOE25'!J204+'DOE25'!J222+'DOE25'!J240</f>
        <v>136102.79999999999</v>
      </c>
      <c r="H7" s="19">
        <f>'DOE25'!K204+'DOE25'!K222+'DOE25'!K240</f>
        <v>115741.65</v>
      </c>
      <c r="I7" s="191"/>
    </row>
    <row r="8" spans="1:9" x14ac:dyDescent="0.2">
      <c r="A8" s="31">
        <v>2300</v>
      </c>
      <c r="B8" t="s">
        <v>794</v>
      </c>
      <c r="C8" s="205">
        <f t="shared" si="0"/>
        <v>755897.07</v>
      </c>
      <c r="D8" s="179"/>
      <c r="E8" s="19">
        <f>'DOE25'!L205+'DOE25'!L223+'DOE25'!L241-F8-G8-H8-D9-D11</f>
        <v>732044.54999999993</v>
      </c>
      <c r="F8" s="180"/>
      <c r="G8" s="19">
        <f>'DOE25'!J205+'DOE25'!J223+'DOE25'!J241</f>
        <v>0</v>
      </c>
      <c r="H8" s="19">
        <f>'DOE25'!K205+'DOE25'!K223+'DOE25'!K241</f>
        <v>23852.519999999997</v>
      </c>
      <c r="I8" s="191"/>
    </row>
    <row r="9" spans="1:9" ht="14.25" x14ac:dyDescent="0.2">
      <c r="A9" s="31">
        <v>2310</v>
      </c>
      <c r="B9" s="71" t="s">
        <v>884</v>
      </c>
      <c r="C9" s="205">
        <f t="shared" si="0"/>
        <v>0</v>
      </c>
      <c r="D9" s="180"/>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1184287.42</v>
      </c>
      <c r="D12" s="19">
        <f>'DOE25'!L206+'DOE25'!L224+'DOE25'!L242-F12-G12-H12</f>
        <v>1182285.02</v>
      </c>
      <c r="E12" s="179"/>
      <c r="F12" s="180"/>
      <c r="G12" s="19">
        <f>'DOE25'!J206+'DOE25'!J224+'DOE25'!J242</f>
        <v>0</v>
      </c>
      <c r="H12" s="19">
        <f>'DOE25'!K206+'DOE25'!K224+'DOE25'!K242</f>
        <v>2002.4</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1233822.3400000001</v>
      </c>
      <c r="D14" s="19">
        <f>'DOE25'!L208+'DOE25'!L226+'DOE25'!L244-F14-G14-H14</f>
        <v>1231594.31</v>
      </c>
      <c r="E14" s="179"/>
      <c r="F14" s="180"/>
      <c r="G14" s="19">
        <f>'DOE25'!J208+'DOE25'!J226+'DOE25'!J244</f>
        <v>2228.0300000000002</v>
      </c>
      <c r="H14" s="19">
        <f>'DOE25'!K208+'DOE25'!K226+'DOE25'!K244</f>
        <v>0</v>
      </c>
      <c r="I14" s="191"/>
    </row>
    <row r="15" spans="1:9" x14ac:dyDescent="0.2">
      <c r="A15" s="31">
        <v>2700</v>
      </c>
      <c r="B15" t="s">
        <v>796</v>
      </c>
      <c r="C15" s="205">
        <f t="shared" si="0"/>
        <v>1090634.54</v>
      </c>
      <c r="D15" s="19">
        <f>'DOE25'!L209+'DOE25'!L227+'DOE25'!L245-F15-G15-H15</f>
        <v>53442.050000000047</v>
      </c>
      <c r="E15" s="179"/>
      <c r="F15" s="180">
        <v>1037192.49</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1011894.91</v>
      </c>
      <c r="D25" s="179"/>
      <c r="E25" s="179"/>
      <c r="F25" s="190"/>
      <c r="G25" s="179"/>
      <c r="H25" s="179"/>
      <c r="I25" s="189">
        <f>'DOE25'!L261+'DOE25'!L262+'DOE25'!L342+'DOE25'!L343</f>
        <v>1011894.91</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6251.0799999999117</v>
      </c>
      <c r="D29" s="211">
        <f>'DOE25'!L359+'DOE25'!L360+'DOE25'!L361-'DOE25'!I368-F29-G29-H29-F39</f>
        <v>6212.2799999999115</v>
      </c>
      <c r="E29" s="179"/>
      <c r="F29" s="179"/>
      <c r="G29" s="19">
        <f>'DOE25'!J359+'DOE25'!J360+'DOE25'!J361</f>
        <v>0</v>
      </c>
      <c r="H29" s="19">
        <f>'DOE25'!K359+'DOE25'!K360+'DOE25'!K361</f>
        <v>38.799999999999997</v>
      </c>
      <c r="I29" s="191"/>
    </row>
    <row r="30" spans="1:9" x14ac:dyDescent="0.2">
      <c r="A30" s="31"/>
      <c r="C30" s="206"/>
      <c r="D30" s="19"/>
      <c r="F30" s="200"/>
      <c r="G30" s="19"/>
      <c r="H30" s="19"/>
      <c r="I30" s="191"/>
    </row>
    <row r="31" spans="1:9" x14ac:dyDescent="0.2">
      <c r="A31" s="31" t="s">
        <v>814</v>
      </c>
      <c r="B31" t="s">
        <v>813</v>
      </c>
      <c r="C31" s="205">
        <f>SUM(D31:I31)</f>
        <v>864234.19</v>
      </c>
      <c r="D31" s="19">
        <f>'DOE25'!L291+'DOE25'!L310+'DOE25'!L329+'DOE25'!L334+'DOE25'!L335+'DOE25'!L336-F31-G31-H31</f>
        <v>810072.24</v>
      </c>
      <c r="E31" s="179"/>
      <c r="F31" s="180"/>
      <c r="G31" s="19">
        <f>'DOE25'!J291+'DOE25'!J310+'DOE25'!J329+'DOE25'!J334+'DOE25'!J335+'DOE25'!J336</f>
        <v>54161.950000000004</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14043435.950000003</v>
      </c>
      <c r="E33" s="181">
        <f t="shared" si="1"/>
        <v>732044.54999999993</v>
      </c>
      <c r="F33" s="181">
        <f t="shared" si="1"/>
        <v>1796337.8599999999</v>
      </c>
      <c r="G33" s="181">
        <f t="shared" si="1"/>
        <v>231777.13999999998</v>
      </c>
      <c r="H33" s="181">
        <f t="shared" si="1"/>
        <v>149198.63999999998</v>
      </c>
      <c r="I33" s="181">
        <f t="shared" si="1"/>
        <v>1011894.91</v>
      </c>
    </row>
    <row r="34" spans="1:9" ht="12" thickBot="1" x14ac:dyDescent="0.25"/>
    <row r="35" spans="1:9" ht="12" thickBot="1" x14ac:dyDescent="0.25">
      <c r="B35" s="187" t="s">
        <v>827</v>
      </c>
      <c r="D35" s="188">
        <f>E33</f>
        <v>732044.54999999993</v>
      </c>
      <c r="E35" s="184"/>
      <c r="F35" s="294" t="s">
        <v>1596</v>
      </c>
      <c r="G35" s="295"/>
      <c r="H35" s="295"/>
      <c r="I35" s="296"/>
    </row>
    <row r="36" spans="1:9" ht="12" thickTop="1" x14ac:dyDescent="0.2">
      <c r="B36" t="s">
        <v>807</v>
      </c>
      <c r="D36" s="19">
        <f>D33</f>
        <v>14043435.950000003</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401881.21</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A18" zoomScale="75" zoomScaleNormal="75" workbookViewId="0">
      <selection activeCell="O8" sqref="O8"/>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Weare</v>
      </c>
      <c r="B2">
        <f>'DOE25'!B2</f>
        <v>555</v>
      </c>
      <c r="J2" s="223" t="s">
        <v>1799</v>
      </c>
      <c r="K2" s="308">
        <f>SUM('DOE25'!L198:L201)+SUM('DOE25'!L277:L280)</f>
        <v>4780673.7700000005</v>
      </c>
      <c r="L2" s="308">
        <f>'DOE25'!L203+'DOE25'!L282</f>
        <v>693111.19</v>
      </c>
      <c r="M2" s="308">
        <f>'DOE25'!L204+'DOE25'!L283</f>
        <v>354124.48000000004</v>
      </c>
      <c r="N2" s="308">
        <f>'DOE25'!L206+'DOE25'!L285</f>
        <v>557647.16</v>
      </c>
      <c r="O2" s="316">
        <f>'Salaries-Benefits'!B10+'Salaries-Benefits'!B12+'Salaries-Benefits'!B19+'Salaries-Benefits'!B21+'Salaries-Benefits'!B28+'Salaries-Benefits'!B30+'Salaries-Benefits'!B37+'Salaries-Benefits'!B39</f>
        <v>5043131.3100000005</v>
      </c>
      <c r="P2" s="316">
        <f>'Salaries-Benefits'!B11+'Salaries-Benefits'!B20+'Salaries-Benefits'!B29+'Salaries-Benefits'!B38</f>
        <v>1056591.58</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7846860.7300000014</v>
      </c>
      <c r="G4" s="228">
        <f>'DOE25'!L212+'DOE25'!L291</f>
        <v>7846860.7300000004</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f>215753.13+56225</f>
        <v>271978.13</v>
      </c>
      <c r="E5" s="219">
        <v>0</v>
      </c>
      <c r="F5" s="231">
        <f>D5+E5</f>
        <v>271978.13</v>
      </c>
      <c r="G5" s="222"/>
      <c r="H5" s="222"/>
      <c r="J5" s="71" t="s">
        <v>1840</v>
      </c>
      <c r="K5" s="20">
        <f>215753.13</f>
        <v>215753.13</v>
      </c>
      <c r="L5" s="20">
        <v>0</v>
      </c>
      <c r="M5" s="20">
        <v>0</v>
      </c>
      <c r="N5" s="20">
        <v>0</v>
      </c>
      <c r="O5" s="20">
        <v>0</v>
      </c>
      <c r="P5" s="20">
        <v>0</v>
      </c>
      <c r="Q5" s="20">
        <v>0</v>
      </c>
    </row>
    <row r="6" spans="1:22" x14ac:dyDescent="0.2">
      <c r="A6" t="str" cm="1">
        <f t="array" ref="A6">IFERROR(INDEX('School Tables'!$A$4:$G$365,'School Tables'!$J4,3),"")</f>
        <v>Center Woods School</v>
      </c>
      <c r="B6" s="229">
        <f>IFERROR(VLOOKUP(A6,'School Tables'!$C$3:$D$365,2,FALSE),"")</f>
        <v>26810</v>
      </c>
      <c r="C6" s="222" t="str">
        <f>IFERROR(INDEX('School Tables'!$B$3:$B$365,MATCH('School Level Expenditures'!B6,'School Tables'!$D$3:$D$365,0)),"")</f>
        <v>Weare</v>
      </c>
      <c r="D6" s="219">
        <f>'DOE25'!L212-'School Level Expenditures'!D5</f>
        <v>7166939.830000001</v>
      </c>
      <c r="E6" s="219">
        <f>'DOE25'!L291</f>
        <v>407942.77</v>
      </c>
      <c r="F6" s="231">
        <f t="shared" ref="F6:F20" si="2">D6+E6</f>
        <v>7574882.6000000015</v>
      </c>
      <c r="G6" s="222"/>
      <c r="H6" s="222"/>
      <c r="J6" t="str">
        <f t="shared" ref="J6:J20" si="3">A6</f>
        <v>Center Woods School</v>
      </c>
      <c r="K6" s="20">
        <v>4564920.6399999997</v>
      </c>
      <c r="L6" s="20">
        <v>693111.19</v>
      </c>
      <c r="M6" s="307">
        <v>354124.48</v>
      </c>
      <c r="N6" s="20">
        <v>557647.16</v>
      </c>
      <c r="O6" s="20">
        <f>2227350.85+14596.12-300</f>
        <v>2241646.9700000002</v>
      </c>
      <c r="P6" s="20">
        <v>566718.02</v>
      </c>
      <c r="Q6" s="20">
        <v>4375.74</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7438917.9600000009</v>
      </c>
      <c r="E21" s="261">
        <f>SUM(E5:E20)</f>
        <v>407942.77</v>
      </c>
      <c r="F21" s="216"/>
      <c r="G21" s="216"/>
      <c r="H21" s="216"/>
      <c r="K21" s="262">
        <f t="shared" ref="K21:Q21" si="4">SUM(K5:K20)</f>
        <v>4780673.7699999996</v>
      </c>
      <c r="L21" s="262">
        <f t="shared" si="4"/>
        <v>693111.19</v>
      </c>
      <c r="M21" s="262">
        <f t="shared" si="4"/>
        <v>354124.48</v>
      </c>
      <c r="N21" s="262">
        <f t="shared" si="4"/>
        <v>557647.16</v>
      </c>
      <c r="O21" s="262">
        <f t="shared" si="4"/>
        <v>2241646.9700000002</v>
      </c>
      <c r="P21" s="262">
        <f t="shared" si="4"/>
        <v>566718.02</v>
      </c>
      <c r="Q21" s="262">
        <f t="shared" si="4"/>
        <v>4375.74</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5501690.1699999999</v>
      </c>
      <c r="L23" s="19">
        <f>'DOE25'!L221+'DOE25'!L301</f>
        <v>752037.28</v>
      </c>
      <c r="M23" s="19">
        <f>'DOE25'!L222+'DOE25'!L302</f>
        <v>513355.57</v>
      </c>
      <c r="N23" s="19">
        <f>'DOE25'!L224+'DOE25'!L304</f>
        <v>639390.54</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9099682.3300000001</v>
      </c>
      <c r="G25" s="228">
        <f>'DOE25'!L230+'DOE25'!L310</f>
        <v>9099682.3300000001</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f>72475+159355.4</f>
        <v>231830.39999999999</v>
      </c>
      <c r="E26" s="219">
        <v>0</v>
      </c>
      <c r="F26" s="231">
        <f>D26+E26</f>
        <v>231830.39999999999</v>
      </c>
      <c r="G26" s="222"/>
      <c r="H26" s="222"/>
      <c r="J26" s="71" t="s">
        <v>1840</v>
      </c>
      <c r="K26" s="315">
        <f>159355.4</f>
        <v>159355.4</v>
      </c>
      <c r="L26" s="315">
        <v>0</v>
      </c>
      <c r="M26" s="315">
        <v>0</v>
      </c>
      <c r="N26" s="315">
        <v>0</v>
      </c>
      <c r="O26" s="315">
        <v>0</v>
      </c>
      <c r="P26" s="315">
        <v>0</v>
      </c>
      <c r="Q26" s="315">
        <v>0</v>
      </c>
    </row>
    <row r="27" spans="1:17" x14ac:dyDescent="0.2">
      <c r="A27" t="str" cm="1">
        <f t="array" ref="A27">IFERROR(INDEX('School Tables'!$L$4:$R$100,'School Tables'!$U4,3),"")</f>
        <v>Weare Middle School</v>
      </c>
      <c r="B27" s="229">
        <f>IFERROR(VLOOKUP(A27,'School Tables'!$N$4:$O$100,2,FALSE),"")</f>
        <v>20720</v>
      </c>
      <c r="C27" s="222" t="str">
        <f>IFERROR(INDEX('School Tables'!$M$4:$M$100,MATCH('School Level Expenditures'!A27,'School Tables'!$N$4:$N$100,0)),"")</f>
        <v>Weare</v>
      </c>
      <c r="D27" s="219">
        <f>'DOE25'!L230-'School Level Expenditures'!D26</f>
        <v>8411560.5099999998</v>
      </c>
      <c r="E27" s="219">
        <f>'DOE25'!L310</f>
        <v>456291.41999999993</v>
      </c>
      <c r="F27" s="231">
        <f t="shared" ref="F27:F33" si="6">D27+E27</f>
        <v>8867851.9299999997</v>
      </c>
      <c r="G27" s="222"/>
      <c r="H27" s="222"/>
      <c r="J27" t="str">
        <f t="shared" ref="J27:J33" si="7">A27</f>
        <v>Weare Middle School</v>
      </c>
      <c r="K27" s="20">
        <v>5342334.7699999996</v>
      </c>
      <c r="L27" s="20">
        <v>752037.28</v>
      </c>
      <c r="M27" s="307">
        <v>513355.57</v>
      </c>
      <c r="N27" s="20">
        <v>639390.54</v>
      </c>
      <c r="O27" s="20">
        <f>12833.82+2788650.52</f>
        <v>2801484.34</v>
      </c>
      <c r="P27" s="20">
        <v>489873.56</v>
      </c>
      <c r="Q27" s="20">
        <v>2442.56</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8643390.9100000001</v>
      </c>
      <c r="E34" s="261">
        <f>SUM(E26:E33)</f>
        <v>456291.41999999993</v>
      </c>
      <c r="F34" s="216"/>
      <c r="G34" s="216"/>
      <c r="H34" s="216"/>
      <c r="K34" s="262">
        <f t="shared" ref="K34:Q34" si="8">SUM(K26:K33)</f>
        <v>5501690.1699999999</v>
      </c>
      <c r="L34" s="262">
        <f t="shared" si="8"/>
        <v>752037.28</v>
      </c>
      <c r="M34" s="262">
        <f t="shared" si="8"/>
        <v>513355.57</v>
      </c>
      <c r="N34" s="262">
        <f t="shared" si="8"/>
        <v>639390.54</v>
      </c>
      <c r="O34" s="262">
        <f t="shared" si="8"/>
        <v>2801484.34</v>
      </c>
      <c r="P34" s="262">
        <f t="shared" si="8"/>
        <v>489873.56</v>
      </c>
      <c r="Q34" s="262">
        <f t="shared" si="8"/>
        <v>2442.56</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0</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0</v>
      </c>
      <c r="G38" s="228">
        <f>'DOE25'!L248+'DOE25'!L329</f>
        <v>0</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c r="E39" s="219"/>
      <c r="F39" s="231">
        <f t="shared" ref="F39:F44" si="10">D39+E39</f>
        <v>0</v>
      </c>
      <c r="G39" s="222"/>
      <c r="H39" s="222"/>
      <c r="J39" s="71" t="s">
        <v>1840</v>
      </c>
      <c r="K39" s="315"/>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0</v>
      </c>
      <c r="E45" s="262">
        <f>SUM(E39:E44)</f>
        <v>0</v>
      </c>
      <c r="K45" s="262">
        <f t="shared" ref="K45:Q45" si="11">SUM(K39:K44)</f>
        <v>0</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Weare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892378.54</v>
      </c>
      <c r="D8" s="73">
        <f>'DOE25'!G9</f>
        <v>0</v>
      </c>
      <c r="E8" s="73">
        <f>'DOE25'!H9</f>
        <v>0</v>
      </c>
      <c r="F8" s="73">
        <f>'DOE25'!I9</f>
        <v>0</v>
      </c>
      <c r="G8" s="73">
        <f>'DOE25'!J9</f>
        <v>1023165.91</v>
      </c>
      <c r="H8" s="13">
        <f>SUM(C8:G8)</f>
        <v>1915544.4500000002</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3975.43</v>
      </c>
      <c r="D12" s="73">
        <f>'DOE25'!G13</f>
        <v>20853.8</v>
      </c>
      <c r="E12" s="73">
        <f>'DOE25'!H13</f>
        <v>242602.38</v>
      </c>
      <c r="F12" s="73">
        <f>'DOE25'!I13</f>
        <v>0</v>
      </c>
      <c r="G12" s="73">
        <f>'DOE25'!J13</f>
        <v>0</v>
      </c>
      <c r="H12" s="13">
        <f t="shared" si="0"/>
        <v>267431.61</v>
      </c>
      <c r="I12" s="90"/>
    </row>
    <row r="13" spans="1:9" x14ac:dyDescent="0.2">
      <c r="A13" s="1" t="s">
        <v>144</v>
      </c>
      <c r="B13" s="6">
        <v>150</v>
      </c>
      <c r="C13" s="73">
        <f>'DOE25'!F14</f>
        <v>2492.94</v>
      </c>
      <c r="D13" s="73">
        <f>'DOE25'!G14</f>
        <v>0</v>
      </c>
      <c r="E13" s="73">
        <f>'DOE25'!H14</f>
        <v>0</v>
      </c>
      <c r="F13" s="73">
        <f>'DOE25'!I14</f>
        <v>0</v>
      </c>
      <c r="G13" s="73">
        <f>'DOE25'!J14</f>
        <v>0</v>
      </c>
      <c r="H13" s="13">
        <f t="shared" si="0"/>
        <v>2492.94</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132.05000000000001</v>
      </c>
      <c r="D16" s="73">
        <f>'DOE25'!G17</f>
        <v>0</v>
      </c>
      <c r="E16" s="73">
        <f>'DOE25'!H17</f>
        <v>0</v>
      </c>
      <c r="F16" s="73">
        <f>'DOE25'!I17</f>
        <v>0</v>
      </c>
      <c r="G16" s="73">
        <f>'DOE25'!J17</f>
        <v>0</v>
      </c>
      <c r="H16" s="13">
        <f t="shared" si="0"/>
        <v>132.05000000000001</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898978.96000000008</v>
      </c>
      <c r="D18" s="38">
        <f>SUM(D8:D17)</f>
        <v>20853.8</v>
      </c>
      <c r="E18" s="38">
        <f>SUM(E8:E17)</f>
        <v>242602.38</v>
      </c>
      <c r="F18" s="38">
        <f>SUM(F8:F17)</f>
        <v>0</v>
      </c>
      <c r="G18" s="38">
        <f>SUM(G8:G17)</f>
        <v>1023165.91</v>
      </c>
      <c r="H18" s="38">
        <f t="shared" si="0"/>
        <v>2185601.0500000003</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122683.02</v>
      </c>
      <c r="D21" s="73">
        <f>'DOE25'!G22</f>
        <v>-345299.68</v>
      </c>
      <c r="E21" s="73">
        <f>'DOE25'!H22</f>
        <v>222643.91</v>
      </c>
      <c r="F21" s="73">
        <f>'DOE25'!I22</f>
        <v>0</v>
      </c>
      <c r="G21" s="73">
        <f>'DOE25'!J22</f>
        <v>0</v>
      </c>
      <c r="H21" s="13">
        <f t="shared" ref="H21:H31" si="1">SUM(C21:G21)</f>
        <v>27.250000000029104</v>
      </c>
      <c r="I21" s="90"/>
    </row>
    <row r="22" spans="1:9" x14ac:dyDescent="0.2">
      <c r="A22" s="1" t="s">
        <v>151</v>
      </c>
      <c r="B22" s="6">
        <v>410</v>
      </c>
      <c r="C22" s="73">
        <f>'DOE25'!F23</f>
        <v>28742.69</v>
      </c>
      <c r="D22" s="73">
        <f>'DOE25'!G23</f>
        <v>0</v>
      </c>
      <c r="E22" s="73">
        <f>'DOE25'!H23</f>
        <v>0</v>
      </c>
      <c r="F22" s="73">
        <f>'DOE25'!I23</f>
        <v>0</v>
      </c>
      <c r="G22" s="73">
        <f>'DOE25'!J23</f>
        <v>0</v>
      </c>
      <c r="H22" s="13">
        <f t="shared" si="1"/>
        <v>28742.69</v>
      </c>
      <c r="I22" s="90"/>
    </row>
    <row r="23" spans="1:9" x14ac:dyDescent="0.2">
      <c r="A23" s="1" t="s">
        <v>152</v>
      </c>
      <c r="B23" s="6">
        <v>420</v>
      </c>
      <c r="C23" s="73">
        <f>'DOE25'!F24</f>
        <v>208915.39</v>
      </c>
      <c r="D23" s="73">
        <f>'DOE25'!G24</f>
        <v>102050.61</v>
      </c>
      <c r="E23" s="73">
        <f>'DOE25'!H24</f>
        <v>11262.13</v>
      </c>
      <c r="F23" s="73">
        <f>'DOE25'!I24</f>
        <v>0</v>
      </c>
      <c r="G23" s="73">
        <f>'DOE25'!J24</f>
        <v>0</v>
      </c>
      <c r="H23" s="13">
        <f t="shared" si="1"/>
        <v>322228.13</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44918.5</v>
      </c>
      <c r="D27" s="73">
        <f>'DOE25'!G28</f>
        <v>0</v>
      </c>
      <c r="E27" s="73">
        <f>'DOE25'!H28</f>
        <v>0</v>
      </c>
      <c r="F27" s="73">
        <f>'DOE25'!I28</f>
        <v>0</v>
      </c>
      <c r="G27" s="23" t="s">
        <v>288</v>
      </c>
      <c r="H27" s="13">
        <f t="shared" si="1"/>
        <v>44918.5</v>
      </c>
      <c r="I27" s="90"/>
    </row>
    <row r="28" spans="1:9" x14ac:dyDescent="0.2">
      <c r="A28" s="1" t="s">
        <v>157</v>
      </c>
      <c r="B28" s="6">
        <v>470</v>
      </c>
      <c r="C28" s="73">
        <f>'DOE25'!F29</f>
        <v>24071.35</v>
      </c>
      <c r="D28" s="73">
        <f>'DOE25'!G29</f>
        <v>0</v>
      </c>
      <c r="E28" s="73">
        <f>'DOE25'!H29</f>
        <v>0</v>
      </c>
      <c r="F28" s="73">
        <f>'DOE25'!I29</f>
        <v>0</v>
      </c>
      <c r="G28" s="23" t="s">
        <v>288</v>
      </c>
      <c r="H28" s="13">
        <f t="shared" si="1"/>
        <v>24071.35</v>
      </c>
      <c r="I28" s="90"/>
    </row>
    <row r="29" spans="1:9" x14ac:dyDescent="0.2">
      <c r="A29" s="1" t="s">
        <v>158</v>
      </c>
      <c r="B29" s="6">
        <v>480</v>
      </c>
      <c r="C29" s="73">
        <f>'DOE25'!F30</f>
        <v>0</v>
      </c>
      <c r="D29" s="73">
        <f>'DOE25'!G30</f>
        <v>10325.23</v>
      </c>
      <c r="E29" s="73">
        <f>'DOE25'!H30</f>
        <v>0</v>
      </c>
      <c r="F29" s="73">
        <f>'DOE25'!I30</f>
        <v>0</v>
      </c>
      <c r="G29" s="23" t="s">
        <v>288</v>
      </c>
      <c r="H29" s="13">
        <f t="shared" si="1"/>
        <v>10325.23</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429330.94999999995</v>
      </c>
      <c r="D31" s="38">
        <f>SUM(D21:D30)</f>
        <v>-232923.84</v>
      </c>
      <c r="E31" s="38">
        <f>SUM(E21:E30)</f>
        <v>233906.04</v>
      </c>
      <c r="F31" s="38">
        <f>SUM(F21:F30)</f>
        <v>0</v>
      </c>
      <c r="G31" s="38">
        <f>SUM(G21:G30)</f>
        <v>0</v>
      </c>
      <c r="H31" s="38">
        <f t="shared" si="1"/>
        <v>430313.14999999997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132674.51</v>
      </c>
      <c r="D44" s="73">
        <f>'DOE25'!G45</f>
        <v>0</v>
      </c>
      <c r="E44" s="73">
        <f>'DOE25'!H45</f>
        <v>0</v>
      </c>
      <c r="F44" s="73">
        <f>'DOE25'!I45</f>
        <v>0</v>
      </c>
      <c r="G44" s="73">
        <f>'DOE25'!J45</f>
        <v>0</v>
      </c>
      <c r="H44" s="13">
        <f t="shared" si="2"/>
        <v>132674.51</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253777.64</v>
      </c>
      <c r="E47" s="73">
        <f>'DOE25'!H48</f>
        <v>8696.34</v>
      </c>
      <c r="F47" s="73">
        <f>'DOE25'!I48</f>
        <v>0</v>
      </c>
      <c r="G47" s="73">
        <f>'DOE25'!J48</f>
        <v>1023165.91</v>
      </c>
      <c r="H47" s="13">
        <f t="shared" si="2"/>
        <v>1285639.8900000001</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336973.5</v>
      </c>
      <c r="D49" s="23" t="s">
        <v>288</v>
      </c>
      <c r="E49" s="23" t="s">
        <v>288</v>
      </c>
      <c r="F49" s="23" t="s">
        <v>288</v>
      </c>
      <c r="G49" s="23" t="s">
        <v>288</v>
      </c>
      <c r="H49" s="13">
        <f t="shared" si="2"/>
        <v>336973.5</v>
      </c>
      <c r="I49" s="90"/>
    </row>
    <row r="50" spans="1:9" ht="12.75" thickTop="1" thickBot="1" x14ac:dyDescent="0.25">
      <c r="A50" s="35" t="s">
        <v>880</v>
      </c>
      <c r="B50" s="44"/>
      <c r="C50" s="38">
        <f>SUM(C34:C49)</f>
        <v>469648.01</v>
      </c>
      <c r="D50" s="38">
        <f>SUM(D34:D49)</f>
        <v>253777.64</v>
      </c>
      <c r="E50" s="38">
        <f>SUM(E34:E49)</f>
        <v>8696.34</v>
      </c>
      <c r="F50" s="38">
        <f>SUM(F34:F49)</f>
        <v>0</v>
      </c>
      <c r="G50" s="38">
        <f>SUM(G34:G49)</f>
        <v>1023165.91</v>
      </c>
      <c r="H50" s="38">
        <f t="shared" si="2"/>
        <v>1755287.9</v>
      </c>
      <c r="I50" s="90"/>
    </row>
    <row r="51" spans="1:9" ht="12" thickTop="1" x14ac:dyDescent="0.2">
      <c r="A51" s="35" t="s">
        <v>881</v>
      </c>
      <c r="B51" s="2"/>
      <c r="C51" s="38">
        <f>C50+C31</f>
        <v>898978.96</v>
      </c>
      <c r="D51" s="38">
        <f>D50+D31</f>
        <v>20853.800000000017</v>
      </c>
      <c r="E51" s="38">
        <f>E50+E31</f>
        <v>242602.38</v>
      </c>
      <c r="F51" s="38">
        <f>F50+F31</f>
        <v>0</v>
      </c>
      <c r="G51" s="38">
        <f>G50+G31</f>
        <v>1023165.91</v>
      </c>
      <c r="H51" s="38">
        <f t="shared" si="2"/>
        <v>2185601.0500000003</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9785915</v>
      </c>
      <c r="D56" s="73">
        <f>'DOE25'!G60</f>
        <v>0</v>
      </c>
      <c r="E56" s="73">
        <f>'DOE25'!H60</f>
        <v>0</v>
      </c>
      <c r="F56" s="73">
        <f>'DOE25'!I60</f>
        <v>0</v>
      </c>
      <c r="G56" s="73">
        <f>'DOE25'!J60</f>
        <v>0</v>
      </c>
      <c r="H56" s="13">
        <f t="shared" ref="H56:H63" si="3">SUM(C56:G56)</f>
        <v>9785915</v>
      </c>
      <c r="I56"/>
    </row>
    <row r="57" spans="1:9" x14ac:dyDescent="0.2">
      <c r="A57" s="1" t="s">
        <v>164</v>
      </c>
      <c r="B57" s="6" t="s">
        <v>165</v>
      </c>
      <c r="C57" s="73">
        <f>'DOE25'!F79</f>
        <v>360</v>
      </c>
      <c r="D57" s="23" t="s">
        <v>288</v>
      </c>
      <c r="E57" s="73">
        <f>'DOE25'!H79</f>
        <v>0</v>
      </c>
      <c r="F57" s="23" t="s">
        <v>288</v>
      </c>
      <c r="G57" s="23" t="s">
        <v>288</v>
      </c>
      <c r="H57" s="13">
        <f t="shared" si="3"/>
        <v>360</v>
      </c>
      <c r="I57"/>
    </row>
    <row r="58" spans="1:9" x14ac:dyDescent="0.2">
      <c r="A58" s="1" t="s">
        <v>166</v>
      </c>
      <c r="B58" s="6" t="s">
        <v>167</v>
      </c>
      <c r="C58" s="73">
        <f>'DOE25'!F94</f>
        <v>90981</v>
      </c>
      <c r="D58" s="23" t="s">
        <v>288</v>
      </c>
      <c r="E58" s="73">
        <f>'DOE25'!H94</f>
        <v>0</v>
      </c>
      <c r="F58" s="23" t="s">
        <v>288</v>
      </c>
      <c r="G58" s="23" t="s">
        <v>288</v>
      </c>
      <c r="H58" s="13">
        <f t="shared" si="3"/>
        <v>90981</v>
      </c>
      <c r="I58"/>
    </row>
    <row r="59" spans="1:9" x14ac:dyDescent="0.2">
      <c r="A59" s="1" t="s">
        <v>168</v>
      </c>
      <c r="B59" s="6" t="s">
        <v>169</v>
      </c>
      <c r="C59" s="73">
        <f>'DOE25'!F96</f>
        <v>33198.480000000003</v>
      </c>
      <c r="D59" s="73">
        <f>'DOE25'!G96</f>
        <v>0</v>
      </c>
      <c r="E59" s="73">
        <f>'DOE25'!H96</f>
        <v>0</v>
      </c>
      <c r="F59" s="73">
        <f>'DOE25'!I96</f>
        <v>0</v>
      </c>
      <c r="G59" s="73">
        <f>'DOE25'!J96</f>
        <v>1024.02</v>
      </c>
      <c r="H59" s="13">
        <f t="shared" si="3"/>
        <v>34222.5</v>
      </c>
      <c r="I59"/>
    </row>
    <row r="60" spans="1:9" x14ac:dyDescent="0.2">
      <c r="A60" s="1" t="s">
        <v>170</v>
      </c>
      <c r="B60" s="22" t="s">
        <v>171</v>
      </c>
      <c r="C60" s="23" t="s">
        <v>288</v>
      </c>
      <c r="D60" s="73">
        <f>'DOE25'!G97</f>
        <v>286664.59000000003</v>
      </c>
      <c r="E60" s="23" t="s">
        <v>288</v>
      </c>
      <c r="F60" s="23" t="s">
        <v>288</v>
      </c>
      <c r="G60" s="23" t="s">
        <v>288</v>
      </c>
      <c r="H60" s="13">
        <f t="shared" si="3"/>
        <v>286664.59000000003</v>
      </c>
      <c r="I60"/>
    </row>
    <row r="61" spans="1:9" ht="12" thickBot="1" x14ac:dyDescent="0.25">
      <c r="A61" s="1" t="s">
        <v>172</v>
      </c>
      <c r="B61" s="22" t="s">
        <v>173</v>
      </c>
      <c r="C61" s="73">
        <f>SUM('DOE25'!F98:F110)</f>
        <v>55135.380000000005</v>
      </c>
      <c r="D61" s="73">
        <f>SUM('DOE25'!G98:G110)</f>
        <v>0</v>
      </c>
      <c r="E61" s="73">
        <f>SUM('DOE25'!H98:H110)</f>
        <v>0</v>
      </c>
      <c r="F61" s="73">
        <f>SUM('DOE25'!I98:I110)</f>
        <v>0</v>
      </c>
      <c r="G61" s="73">
        <f>SUM('DOE25'!J98:J110)</f>
        <v>0</v>
      </c>
      <c r="H61" s="13">
        <f t="shared" si="3"/>
        <v>55135.380000000005</v>
      </c>
      <c r="I61"/>
    </row>
    <row r="62" spans="1:9" ht="12.75" thickTop="1" thickBot="1" x14ac:dyDescent="0.25">
      <c r="A62" s="28" t="s">
        <v>174</v>
      </c>
      <c r="B62" s="6"/>
      <c r="C62" s="93">
        <f>SUM(C57:C61)</f>
        <v>179674.86000000002</v>
      </c>
      <c r="D62" s="93">
        <f>SUM(D57:D61)</f>
        <v>286664.59000000003</v>
      </c>
      <c r="E62" s="93">
        <f>SUM(E57:E61)</f>
        <v>0</v>
      </c>
      <c r="F62" s="93">
        <f>SUM(F57:F61)</f>
        <v>0</v>
      </c>
      <c r="G62" s="93">
        <f>SUM(G57:G61)</f>
        <v>1024.02</v>
      </c>
      <c r="H62" s="13">
        <f t="shared" si="3"/>
        <v>467363.47000000009</v>
      </c>
      <c r="I62"/>
    </row>
    <row r="63" spans="1:9" ht="12" thickTop="1" x14ac:dyDescent="0.2">
      <c r="A63" s="28" t="s">
        <v>175</v>
      </c>
      <c r="B63" s="6"/>
      <c r="C63" s="21">
        <f>C56+C62</f>
        <v>9965589.8599999994</v>
      </c>
      <c r="D63" s="21">
        <f>D56+D62</f>
        <v>286664.59000000003</v>
      </c>
      <c r="E63" s="21">
        <f>E56+E62</f>
        <v>0</v>
      </c>
      <c r="F63" s="21">
        <f>F56+F62</f>
        <v>0</v>
      </c>
      <c r="G63" s="21">
        <f>G56+G62</f>
        <v>1024.02</v>
      </c>
      <c r="H63" s="13">
        <f t="shared" si="3"/>
        <v>10253278.469999999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5307918.63</v>
      </c>
      <c r="D66" s="23" t="s">
        <v>288</v>
      </c>
      <c r="E66" s="23" t="s">
        <v>288</v>
      </c>
      <c r="F66" s="23" t="s">
        <v>288</v>
      </c>
      <c r="G66" s="23" t="s">
        <v>288</v>
      </c>
      <c r="H66" s="13">
        <f t="shared" ref="H66:H81" si="4">SUM(C66:G66)</f>
        <v>5307918.63</v>
      </c>
      <c r="I66"/>
    </row>
    <row r="67" spans="1:9" x14ac:dyDescent="0.2">
      <c r="A67" s="1" t="s">
        <v>767</v>
      </c>
      <c r="B67" s="6">
        <v>3112</v>
      </c>
      <c r="C67" s="73">
        <f>'DOE25'!F118</f>
        <v>1225522</v>
      </c>
      <c r="D67" s="23"/>
      <c r="E67" s="23"/>
      <c r="F67" s="23"/>
      <c r="G67" s="23"/>
      <c r="H67" s="13">
        <f t="shared" si="4"/>
        <v>1225522</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4568.95</v>
      </c>
      <c r="D69" s="73">
        <f>'DOE25'!G120</f>
        <v>0</v>
      </c>
      <c r="E69" s="73">
        <f>'DOE25'!H120</f>
        <v>0</v>
      </c>
      <c r="F69" s="73">
        <f>'DOE25'!I120</f>
        <v>0</v>
      </c>
      <c r="G69" s="73">
        <f>'DOE25'!J120</f>
        <v>0</v>
      </c>
      <c r="H69" s="13">
        <f t="shared" si="4"/>
        <v>4568.95</v>
      </c>
      <c r="I69"/>
    </row>
    <row r="70" spans="1:9" ht="12" thickTop="1" x14ac:dyDescent="0.2">
      <c r="A70" s="28" t="s">
        <v>252</v>
      </c>
      <c r="B70" s="2"/>
      <c r="C70" s="97">
        <f>SUM(C66:C69)</f>
        <v>6538009.5800000001</v>
      </c>
      <c r="D70" s="97">
        <f>D69</f>
        <v>0</v>
      </c>
      <c r="E70" s="97">
        <f>E69</f>
        <v>0</v>
      </c>
      <c r="F70" s="97">
        <f>F69</f>
        <v>0</v>
      </c>
      <c r="G70" s="97">
        <f>G69</f>
        <v>0</v>
      </c>
      <c r="H70" s="13">
        <f t="shared" si="4"/>
        <v>6538009.5800000001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369683.6</v>
      </c>
      <c r="D72" s="23" t="s">
        <v>288</v>
      </c>
      <c r="E72" s="23" t="s">
        <v>288</v>
      </c>
      <c r="F72" s="73">
        <f>'DOE25'!I123</f>
        <v>0</v>
      </c>
      <c r="G72" s="23" t="s">
        <v>288</v>
      </c>
      <c r="H72" s="13">
        <f t="shared" si="4"/>
        <v>369683.6</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7212.49</v>
      </c>
      <c r="D75" s="23" t="s">
        <v>288</v>
      </c>
      <c r="E75" s="23" t="s">
        <v>288</v>
      </c>
      <c r="F75" s="23" t="s">
        <v>288</v>
      </c>
      <c r="G75" s="23" t="s">
        <v>288</v>
      </c>
      <c r="H75" s="13">
        <f t="shared" si="4"/>
        <v>7212.49</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6481.04</v>
      </c>
      <c r="E77" s="73">
        <f>SUM('DOE25'!H131:H135)</f>
        <v>0</v>
      </c>
      <c r="F77" s="73">
        <f>SUM('DOE25'!I131:I135)</f>
        <v>0</v>
      </c>
      <c r="G77" s="73">
        <f>SUM('DOE25'!J131:J135)</f>
        <v>0</v>
      </c>
      <c r="H77" s="13">
        <f t="shared" si="4"/>
        <v>6481.04</v>
      </c>
      <c r="I77"/>
    </row>
    <row r="78" spans="1:9" ht="12.75" thickTop="1" thickBot="1" x14ac:dyDescent="0.25">
      <c r="A78" s="28" t="s">
        <v>259</v>
      </c>
      <c r="B78" s="6"/>
      <c r="C78" s="93">
        <f>SUM(C72:C77)</f>
        <v>376896.08999999997</v>
      </c>
      <c r="D78" s="93">
        <f>SUM(D72:D77)</f>
        <v>6481.04</v>
      </c>
      <c r="E78" s="93">
        <f>SUM(E72:E77)</f>
        <v>0</v>
      </c>
      <c r="F78" s="93">
        <f>SUM(F72:F77)</f>
        <v>0</v>
      </c>
      <c r="G78" s="93">
        <f>SUM(G72:G77)</f>
        <v>0</v>
      </c>
      <c r="H78" s="13">
        <f t="shared" si="4"/>
        <v>383377.12999999995</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6914905.6699999999</v>
      </c>
      <c r="D81" s="93">
        <f>SUM(D79:D80)+D78+D70</f>
        <v>6481.04</v>
      </c>
      <c r="E81" s="93">
        <f>SUM(E79:E80)+E78+E70</f>
        <v>0</v>
      </c>
      <c r="F81" s="93">
        <f>SUM(F79:F80)+F78+F70</f>
        <v>0</v>
      </c>
      <c r="G81" s="93">
        <f>SUM(G79:G80)+G78+G70</f>
        <v>0</v>
      </c>
      <c r="H81" s="93">
        <f t="shared" si="4"/>
        <v>6921386.71</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36108.800000000003</v>
      </c>
      <c r="D88" s="252">
        <f>SUM('DOE25'!G153:G162)</f>
        <v>137457.51999999999</v>
      </c>
      <c r="E88" s="252">
        <f>SUM('DOE25'!H153:H162)</f>
        <v>887003.26</v>
      </c>
      <c r="F88" s="252">
        <f>SUM('DOE25'!I153:I162)</f>
        <v>0</v>
      </c>
      <c r="G88" s="23" t="s">
        <v>288</v>
      </c>
      <c r="H88" s="13">
        <f t="shared" si="5"/>
        <v>1060569.58</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36108.800000000003</v>
      </c>
      <c r="D91" s="94">
        <f>SUM(D85:D90)</f>
        <v>137457.51999999999</v>
      </c>
      <c r="E91" s="94">
        <f>SUM(E85:E90)</f>
        <v>887003.26</v>
      </c>
      <c r="F91" s="94">
        <f>SUM(F85:F90)</f>
        <v>0</v>
      </c>
      <c r="G91" s="23" t="s">
        <v>288</v>
      </c>
      <c r="H91" s="13">
        <f t="shared" si="5"/>
        <v>1060569.58</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0</v>
      </c>
      <c r="H96" s="13">
        <f t="shared" si="5"/>
        <v>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0</v>
      </c>
      <c r="E103" s="68">
        <f>SUM(E93:E102)</f>
        <v>0</v>
      </c>
      <c r="F103" s="68">
        <f>SUM(F93:F102)</f>
        <v>0</v>
      </c>
      <c r="G103" s="68">
        <f>SUM(G93:G102)</f>
        <v>0</v>
      </c>
      <c r="H103" s="68">
        <f t="shared" si="5"/>
        <v>0</v>
      </c>
    </row>
    <row r="104" spans="1:8" ht="12.75" thickTop="1" thickBot="1" x14ac:dyDescent="0.25">
      <c r="A104" s="32" t="s">
        <v>758</v>
      </c>
      <c r="C104" s="68">
        <f>C63+C81+C91+C103</f>
        <v>16916604.330000002</v>
      </c>
      <c r="D104" s="68">
        <f>D63+D81+D91+D103</f>
        <v>430603.15</v>
      </c>
      <c r="E104" s="68">
        <f>E63+E81+E91+E103</f>
        <v>887003.26</v>
      </c>
      <c r="F104" s="68">
        <f>F63+F81+F91+F103</f>
        <v>0</v>
      </c>
      <c r="G104" s="68">
        <f>G63+G81+G103</f>
        <v>1024.02</v>
      </c>
      <c r="H104" s="68">
        <f t="shared" si="5"/>
        <v>18235234.760000002</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6412780.9699999997</v>
      </c>
      <c r="D109" s="23" t="s">
        <v>288</v>
      </c>
      <c r="E109" s="73">
        <f>('DOE25'!L277)+('DOE25'!L296)+('DOE25'!L315)</f>
        <v>221099.15000000002</v>
      </c>
      <c r="F109" s="23" t="s">
        <v>288</v>
      </c>
      <c r="G109" s="23" t="s">
        <v>288</v>
      </c>
      <c r="H109" s="13">
        <f t="shared" ref="H109:H115" si="6">SUM(C109:G109)</f>
        <v>6633880.1200000001</v>
      </c>
    </row>
    <row r="110" spans="1:8" x14ac:dyDescent="0.2">
      <c r="A110" t="s">
        <v>198</v>
      </c>
      <c r="B110" s="31" t="s">
        <v>199</v>
      </c>
      <c r="C110" s="73">
        <f>('DOE25'!L199)+('DOE25'!L217)+('DOE25'!L235)</f>
        <v>3116794.46</v>
      </c>
      <c r="D110" s="23" t="s">
        <v>288</v>
      </c>
      <c r="E110" s="73">
        <f>('DOE25'!L278)+('DOE25'!L297)+('DOE25'!L316)</f>
        <v>282135.21000000002</v>
      </c>
      <c r="F110" s="23" t="s">
        <v>288</v>
      </c>
      <c r="G110" s="23" t="s">
        <v>288</v>
      </c>
      <c r="H110" s="13">
        <f t="shared" si="6"/>
        <v>3398929.67</v>
      </c>
    </row>
    <row r="111" spans="1:8" x14ac:dyDescent="0.2">
      <c r="A111" t="s">
        <v>200</v>
      </c>
      <c r="B111" s="31" t="s">
        <v>165</v>
      </c>
      <c r="C111" s="73">
        <f>('DOE25'!L200)+('DOE25'!L218)+('DOE25'!L236)</f>
        <v>145297.22</v>
      </c>
      <c r="D111" s="23" t="s">
        <v>288</v>
      </c>
      <c r="E111" s="73">
        <f>('DOE25'!L279)+('DOE25'!L298)+('DOE25'!L317)</f>
        <v>0</v>
      </c>
      <c r="F111" s="23" t="s">
        <v>288</v>
      </c>
      <c r="G111" s="23" t="s">
        <v>288</v>
      </c>
      <c r="H111" s="13">
        <f t="shared" si="6"/>
        <v>145297.22</v>
      </c>
    </row>
    <row r="112" spans="1:8" x14ac:dyDescent="0.2">
      <c r="A112" t="s">
        <v>201</v>
      </c>
      <c r="B112" s="31" t="s">
        <v>167</v>
      </c>
      <c r="C112" s="73">
        <f>('DOE25'!L201)+('DOE25'!L219)+('DOE25'!L237)</f>
        <v>104256.93000000001</v>
      </c>
      <c r="D112" s="23" t="s">
        <v>288</v>
      </c>
      <c r="E112" s="73">
        <f>+('DOE25'!L280)+('DOE25'!L299)+('DOE25'!L318)</f>
        <v>0</v>
      </c>
      <c r="F112" s="23" t="s">
        <v>288</v>
      </c>
      <c r="G112" s="23" t="s">
        <v>288</v>
      </c>
      <c r="H112" s="13">
        <f t="shared" si="6"/>
        <v>104256.93000000001</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9779129.5800000001</v>
      </c>
      <c r="D115" s="68">
        <f>SUM(D109:D114)</f>
        <v>0</v>
      </c>
      <c r="E115" s="68">
        <f>SUM(E109:E114)</f>
        <v>503234.36000000004</v>
      </c>
      <c r="F115" s="68">
        <f>SUM(F109:F114)</f>
        <v>0</v>
      </c>
      <c r="G115" s="68">
        <f>SUM(G109:G114)</f>
        <v>0</v>
      </c>
      <c r="H115" s="68">
        <f t="shared" si="6"/>
        <v>10282363.939999999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1322948.47</v>
      </c>
      <c r="D118" s="23" t="s">
        <v>288</v>
      </c>
      <c r="E118" s="73">
        <f>+('DOE25'!L282)+('DOE25'!L301)+('DOE25'!L320)</f>
        <v>122200</v>
      </c>
      <c r="F118" s="23" t="s">
        <v>288</v>
      </c>
      <c r="G118" s="23" t="s">
        <v>288</v>
      </c>
      <c r="H118" s="13">
        <f t="shared" ref="H118:H145" si="7">SUM(C118:G118)</f>
        <v>1445148.47</v>
      </c>
    </row>
    <row r="119" spans="1:8" x14ac:dyDescent="0.2">
      <c r="A119" t="s">
        <v>208</v>
      </c>
      <c r="B119" s="31" t="s">
        <v>209</v>
      </c>
      <c r="C119" s="73">
        <f>('DOE25'!L204)+('DOE25'!L222)+('DOE25'!L240)</f>
        <v>715589.45000000007</v>
      </c>
      <c r="D119" s="23" t="s">
        <v>288</v>
      </c>
      <c r="E119" s="73">
        <f>+('DOE25'!L283)+('DOE25'!L302)+('DOE25'!L321)</f>
        <v>151890.59999999998</v>
      </c>
      <c r="F119" s="23" t="s">
        <v>288</v>
      </c>
      <c r="G119" s="23" t="s">
        <v>288</v>
      </c>
      <c r="H119" s="13">
        <f t="shared" si="7"/>
        <v>867480.05</v>
      </c>
    </row>
    <row r="120" spans="1:8" x14ac:dyDescent="0.2">
      <c r="A120" t="s">
        <v>210</v>
      </c>
      <c r="B120" s="31" t="s">
        <v>211</v>
      </c>
      <c r="C120" s="73">
        <f>('DOE25'!L205)+('DOE25'!L223)+('DOE25'!L241)</f>
        <v>755897.07</v>
      </c>
      <c r="D120" s="23" t="s">
        <v>288</v>
      </c>
      <c r="E120" s="73">
        <f>+('DOE25'!L284)+('DOE25'!L303)+('DOE25'!L322)</f>
        <v>0</v>
      </c>
      <c r="F120" s="23" t="s">
        <v>288</v>
      </c>
      <c r="G120" s="23" t="s">
        <v>288</v>
      </c>
      <c r="H120" s="13">
        <f t="shared" si="7"/>
        <v>755897.07</v>
      </c>
    </row>
    <row r="121" spans="1:8" x14ac:dyDescent="0.2">
      <c r="A121" t="s">
        <v>212</v>
      </c>
      <c r="B121" s="31" t="s">
        <v>213</v>
      </c>
      <c r="C121" s="73">
        <f>('DOE25'!L206)+('DOE25'!L224)+('DOE25'!L242)</f>
        <v>1184287.42</v>
      </c>
      <c r="D121" s="23" t="s">
        <v>288</v>
      </c>
      <c r="E121" s="73">
        <f>+('DOE25'!L285)+('DOE25'!L304)+('DOE25'!L323)</f>
        <v>12750.28</v>
      </c>
      <c r="F121" s="23" t="s">
        <v>288</v>
      </c>
      <c r="G121" s="23" t="s">
        <v>288</v>
      </c>
      <c r="H121" s="13">
        <f t="shared" si="7"/>
        <v>1197037.7</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1233822.3400000001</v>
      </c>
      <c r="D123" s="23" t="s">
        <v>288</v>
      </c>
      <c r="E123" s="73">
        <f>+('DOE25'!L287)+('DOE25'!L306)+('DOE25'!L325)</f>
        <v>74158.950000000012</v>
      </c>
      <c r="F123" s="23" t="s">
        <v>288</v>
      </c>
      <c r="G123" s="23" t="s">
        <v>288</v>
      </c>
      <c r="H123" s="13">
        <f t="shared" si="7"/>
        <v>1307981.29</v>
      </c>
    </row>
    <row r="124" spans="1:8" x14ac:dyDescent="0.2">
      <c r="A124" t="s">
        <v>218</v>
      </c>
      <c r="B124" s="31" t="s">
        <v>219</v>
      </c>
      <c r="C124" s="73">
        <f>('DOE25'!L209)+('DOE25'!L227)+('DOE25'!L245+'DOE25'!L255)</f>
        <v>1090634.54</v>
      </c>
      <c r="D124" s="23" t="s">
        <v>288</v>
      </c>
      <c r="E124" s="73">
        <f>+('DOE25'!L288)+('DOE25'!L307)+('DOE25'!L326)</f>
        <v>0</v>
      </c>
      <c r="F124" s="23" t="s">
        <v>288</v>
      </c>
      <c r="G124" s="23" t="s">
        <v>288</v>
      </c>
      <c r="H124" s="13">
        <f t="shared" si="7"/>
        <v>1090634.54</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408132.28999999992</v>
      </c>
      <c r="E127" s="23" t="s">
        <v>288</v>
      </c>
      <c r="F127" s="23" t="s">
        <v>288</v>
      </c>
      <c r="G127" s="23" t="s">
        <v>288</v>
      </c>
      <c r="H127" s="13">
        <f t="shared" si="7"/>
        <v>408132.28999999992</v>
      </c>
    </row>
    <row r="128" spans="1:8" ht="12.75" thickTop="1" thickBot="1" x14ac:dyDescent="0.25">
      <c r="A128" s="32" t="s">
        <v>226</v>
      </c>
      <c r="C128" s="68">
        <f>SUM(C118:C127)</f>
        <v>6303179.29</v>
      </c>
      <c r="D128" s="68">
        <f>SUM(D118:D127)</f>
        <v>408132.28999999992</v>
      </c>
      <c r="E128" s="68">
        <f>SUM(E118:E127)</f>
        <v>360999.83</v>
      </c>
      <c r="F128" s="68">
        <f>SUM(F118:F127)</f>
        <v>0</v>
      </c>
      <c r="G128" s="68">
        <f>SUM(G118:G127)</f>
        <v>0</v>
      </c>
      <c r="H128" s="68">
        <f t="shared" si="7"/>
        <v>7072311.4100000001</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947809</v>
      </c>
      <c r="D131" s="23" t="s">
        <v>288</v>
      </c>
      <c r="E131" s="92">
        <f>'DOE25'!L342</f>
        <v>0</v>
      </c>
      <c r="F131" s="23" t="s">
        <v>288</v>
      </c>
      <c r="G131" s="23" t="s">
        <v>288</v>
      </c>
      <c r="H131" s="13">
        <f t="shared" si="7"/>
        <v>947809</v>
      </c>
    </row>
    <row r="132" spans="1:8" x14ac:dyDescent="0.2">
      <c r="A132" t="s">
        <v>230</v>
      </c>
      <c r="B132" s="31">
        <v>5120</v>
      </c>
      <c r="C132" s="73">
        <f>'DOE25'!L262</f>
        <v>64085.91</v>
      </c>
      <c r="D132" s="23" t="s">
        <v>288</v>
      </c>
      <c r="E132" s="92">
        <f>'DOE25'!L343</f>
        <v>0</v>
      </c>
      <c r="F132" s="23" t="s">
        <v>288</v>
      </c>
      <c r="G132" s="23" t="s">
        <v>288</v>
      </c>
      <c r="H132" s="13">
        <f t="shared" si="7"/>
        <v>64085.91</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22769.07</v>
      </c>
      <c r="F134" s="73">
        <f>'DOE25'!K382</f>
        <v>0</v>
      </c>
      <c r="G134" s="73">
        <f>'DOE25'!K435</f>
        <v>0</v>
      </c>
      <c r="H134" s="13">
        <f t="shared" si="7"/>
        <v>22769.07</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808.4</v>
      </c>
      <c r="D138" s="23" t="s">
        <v>288</v>
      </c>
      <c r="E138" s="23" t="s">
        <v>288</v>
      </c>
      <c r="F138" s="23" t="s">
        <v>288</v>
      </c>
      <c r="G138" s="23" t="s">
        <v>288</v>
      </c>
      <c r="H138" s="13">
        <f t="shared" si="7"/>
        <v>808.4</v>
      </c>
    </row>
    <row r="139" spans="1:8" x14ac:dyDescent="0.2">
      <c r="A139" t="s">
        <v>239</v>
      </c>
      <c r="B139" s="31">
        <v>5252</v>
      </c>
      <c r="C139" s="73">
        <f>'DOE25'!L402</f>
        <v>215.62</v>
      </c>
      <c r="D139" s="23" t="s">
        <v>288</v>
      </c>
      <c r="E139" s="23" t="s">
        <v>288</v>
      </c>
      <c r="F139" s="23" t="s">
        <v>288</v>
      </c>
      <c r="G139" s="23" t="s">
        <v>288</v>
      </c>
      <c r="H139" s="13">
        <f t="shared" si="7"/>
        <v>215.62</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-1024.02</v>
      </c>
      <c r="D141" s="23" t="s">
        <v>288</v>
      </c>
      <c r="E141" s="23" t="s">
        <v>288</v>
      </c>
      <c r="F141" s="23" t="s">
        <v>288</v>
      </c>
      <c r="G141" s="23" t="s">
        <v>288</v>
      </c>
      <c r="H141" s="13">
        <f t="shared" si="7"/>
        <v>-1024.02</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1011894.91</v>
      </c>
      <c r="D144" s="98">
        <f>SUM(D130:D143)</f>
        <v>0</v>
      </c>
      <c r="E144" s="98">
        <f>SUM(E130:E143)</f>
        <v>22769.07</v>
      </c>
      <c r="F144" s="98">
        <f>SUM(F130:F143)</f>
        <v>0</v>
      </c>
      <c r="G144" s="98">
        <f>SUM(G130:G143)</f>
        <v>0</v>
      </c>
      <c r="H144" s="98">
        <f t="shared" si="7"/>
        <v>1034663.98</v>
      </c>
    </row>
    <row r="145" spans="1:9" ht="12.75" thickTop="1" thickBot="1" x14ac:dyDescent="0.25">
      <c r="A145" s="32" t="s">
        <v>244</v>
      </c>
      <c r="C145" s="68">
        <f>(C115+C128+C144)</f>
        <v>17094203.780000001</v>
      </c>
      <c r="D145" s="68">
        <f>(D115+D128+D144)</f>
        <v>408132.28999999992</v>
      </c>
      <c r="E145" s="68">
        <f>(E115+E128+E144)</f>
        <v>887003.26</v>
      </c>
      <c r="F145" s="68">
        <f>(F115+F128+F144)</f>
        <v>0</v>
      </c>
      <c r="G145" s="68">
        <f>(G115+G128+G144)</f>
        <v>0</v>
      </c>
      <c r="H145" s="68">
        <f t="shared" si="7"/>
        <v>18389339.330000002</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910000</v>
      </c>
      <c r="C158" s="19">
        <f>'DOE25'!G498</f>
        <v>37809</v>
      </c>
      <c r="D158" s="19">
        <f>'DOE25'!H498</f>
        <v>0</v>
      </c>
      <c r="E158" s="19">
        <f>'DOE25'!I498</f>
        <v>0</v>
      </c>
      <c r="F158" s="19">
        <f>'DOE25'!J498</f>
        <v>0</v>
      </c>
      <c r="G158" s="96">
        <f t="shared" si="8"/>
        <v>947809</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Weare</v>
      </c>
    </row>
    <row r="3" spans="1:4" x14ac:dyDescent="0.2">
      <c r="B3" s="136" t="s">
        <v>1792</v>
      </c>
    </row>
    <row r="4" spans="1:4" x14ac:dyDescent="0.2">
      <c r="B4" t="s">
        <v>61</v>
      </c>
      <c r="C4" s="128">
        <f>IF('DOE25'!F666+'DOE25'!F671=0,0,ROUND('DOE25'!F673,0))</f>
        <v>20547</v>
      </c>
    </row>
    <row r="5" spans="1:4" x14ac:dyDescent="0.2">
      <c r="B5" t="s">
        <v>700</v>
      </c>
      <c r="C5" s="128">
        <f>IF('DOE25'!G666+'DOE25'!G671=0,0,ROUND('DOE25'!G673,0))</f>
        <v>17295</v>
      </c>
    </row>
    <row r="6" spans="1:4" x14ac:dyDescent="0.2">
      <c r="B6" t="s">
        <v>62</v>
      </c>
      <c r="C6" s="128">
        <f>IF('DOE25'!H666+'DOE25'!H671=0,0,ROUND('DOE25'!H673,0))</f>
        <v>0</v>
      </c>
    </row>
    <row r="7" spans="1:4" x14ac:dyDescent="0.2">
      <c r="B7" t="s">
        <v>701</v>
      </c>
      <c r="C7" s="128">
        <f>IF('DOE25'!I666+'DOE25'!I671=0,0,ROUND('DOE25'!I673,0))</f>
        <v>18657</v>
      </c>
    </row>
    <row r="9" spans="1:4" x14ac:dyDescent="0.2">
      <c r="A9" s="135" t="s">
        <v>94</v>
      </c>
      <c r="B9" s="136" t="s">
        <v>1793</v>
      </c>
      <c r="C9" s="130" t="s">
        <v>720</v>
      </c>
      <c r="D9" s="130" t="s">
        <v>721</v>
      </c>
    </row>
    <row r="10" spans="1:4" x14ac:dyDescent="0.2">
      <c r="A10">
        <v>1100</v>
      </c>
      <c r="B10" t="s">
        <v>702</v>
      </c>
      <c r="C10" s="128">
        <f>ROUND('DOE25'!L198+'DOE25'!L216+'DOE25'!L234+'DOE25'!L277+'DOE25'!L296+'DOE25'!L315,0)</f>
        <v>6633880</v>
      </c>
      <c r="D10" s="131">
        <f>ROUND((C10/$C$28)*100,1)</f>
        <v>38.700000000000003</v>
      </c>
    </row>
    <row r="11" spans="1:4" x14ac:dyDescent="0.2">
      <c r="A11">
        <v>1200</v>
      </c>
      <c r="B11" t="s">
        <v>703</v>
      </c>
      <c r="C11" s="128">
        <f>ROUND('DOE25'!L199+'DOE25'!L217+'DOE25'!L235+'DOE25'!L278+'DOE25'!L297+'DOE25'!L316,0)</f>
        <v>3398930</v>
      </c>
      <c r="D11" s="131">
        <f>ROUND((C11/$C$28)*100,1)</f>
        <v>19.8</v>
      </c>
    </row>
    <row r="12" spans="1:4" x14ac:dyDescent="0.2">
      <c r="A12">
        <v>1300</v>
      </c>
      <c r="B12" t="s">
        <v>704</v>
      </c>
      <c r="C12" s="128">
        <f>ROUND('DOE25'!L200+'DOE25'!L218+'DOE25'!L236+'DOE25'!L279+'DOE25'!L298+'DOE25'!L317,0)</f>
        <v>145297</v>
      </c>
      <c r="D12" s="131">
        <f>ROUND((C12/$C$28)*100,1)</f>
        <v>0.8</v>
      </c>
    </row>
    <row r="13" spans="1:4" x14ac:dyDescent="0.2">
      <c r="A13">
        <v>1400</v>
      </c>
      <c r="B13" t="s">
        <v>705</v>
      </c>
      <c r="C13" s="128">
        <f>ROUND('DOE25'!L201+'DOE25'!L219+'DOE25'!L237+'DOE25'!L280+'DOE25'!L299+'DOE25'!L318,0)</f>
        <v>104257</v>
      </c>
      <c r="D13" s="131">
        <f>ROUND((C13/$C$28)*100,1)</f>
        <v>0.6</v>
      </c>
    </row>
    <row r="14" spans="1:4" x14ac:dyDescent="0.2">
      <c r="D14" s="131"/>
    </row>
    <row r="15" spans="1:4" x14ac:dyDescent="0.2">
      <c r="A15">
        <v>2100</v>
      </c>
      <c r="B15" t="s">
        <v>706</v>
      </c>
      <c r="C15" s="128">
        <f>ROUND('DOE25'!L203+'DOE25'!L221+'DOE25'!L239+'DOE25'!L282+'DOE25'!L301+'DOE25'!L320,0)</f>
        <v>1445148</v>
      </c>
      <c r="D15" s="131">
        <f t="shared" ref="D15:D27" si="0">ROUND((C15/$C$28)*100,1)</f>
        <v>8.4</v>
      </c>
    </row>
    <row r="16" spans="1:4" x14ac:dyDescent="0.2">
      <c r="A16">
        <v>2200</v>
      </c>
      <c r="B16" t="s">
        <v>707</v>
      </c>
      <c r="C16" s="128">
        <f>ROUND('DOE25'!L204+'DOE25'!L222+'DOE25'!L240+'DOE25'!L283+'DOE25'!L302+'DOE25'!L321,0)</f>
        <v>867480</v>
      </c>
      <c r="D16" s="131">
        <f t="shared" si="0"/>
        <v>5.0999999999999996</v>
      </c>
    </row>
    <row r="17" spans="1:4" x14ac:dyDescent="0.2">
      <c r="A17" s="132" t="s">
        <v>723</v>
      </c>
      <c r="B17" t="s">
        <v>738</v>
      </c>
      <c r="C17" s="128">
        <f>ROUND('DOE25'!L205+'DOE25'!L210+'DOE25'!L223+'DOE25'!L228+'DOE25'!L241+'DOE25'!L246+'DOE25'!L284+'DOE25'!L289+'DOE25'!L303+'DOE25'!L308+'DOE25'!L322+'DOE25'!L327,0)</f>
        <v>755897</v>
      </c>
      <c r="D17" s="131">
        <f t="shared" si="0"/>
        <v>4.4000000000000004</v>
      </c>
    </row>
    <row r="18" spans="1:4" x14ac:dyDescent="0.2">
      <c r="A18">
        <v>2400</v>
      </c>
      <c r="B18" t="s">
        <v>711</v>
      </c>
      <c r="C18" s="128">
        <f>ROUND('DOE25'!L206+'DOE25'!L224+'DOE25'!L242+'DOE25'!L285+'DOE25'!L304+'DOE25'!L323,0)</f>
        <v>1197038</v>
      </c>
      <c r="D18" s="131">
        <f t="shared" si="0"/>
        <v>7</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1307981</v>
      </c>
      <c r="D20" s="131">
        <f t="shared" si="0"/>
        <v>7.6</v>
      </c>
    </row>
    <row r="21" spans="1:4" x14ac:dyDescent="0.2">
      <c r="A21">
        <v>2700</v>
      </c>
      <c r="B21" t="s">
        <v>710</v>
      </c>
      <c r="C21" s="128">
        <f>ROUND('DOE25'!L209+'DOE25'!L227+'DOE25'!L245+'DOE25'!L288+'DOE25'!L307+'DOE25'!L326,0)</f>
        <v>1090635</v>
      </c>
      <c r="D21" s="131">
        <f t="shared" si="0"/>
        <v>6.4</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64086</v>
      </c>
      <c r="D25" s="131">
        <f t="shared" si="0"/>
        <v>0.4</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121467.40999999997</v>
      </c>
      <c r="D27" s="131">
        <f t="shared" si="0"/>
        <v>0.7</v>
      </c>
    </row>
    <row r="28" spans="1:4" x14ac:dyDescent="0.2">
      <c r="B28" s="135" t="s">
        <v>719</v>
      </c>
      <c r="C28" s="129">
        <f>SUM(C10:C27)</f>
        <v>17132096.41</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17132096.41</v>
      </c>
    </row>
    <row r="31" spans="1:4" x14ac:dyDescent="0.2">
      <c r="B31" s="32"/>
      <c r="C31" s="129"/>
    </row>
    <row r="32" spans="1:4" x14ac:dyDescent="0.2">
      <c r="A32">
        <v>5100</v>
      </c>
      <c r="B32" s="32" t="s">
        <v>726</v>
      </c>
      <c r="C32" s="129">
        <f>ROUND('DOE25'!L261+'DOE25'!L342,0)</f>
        <v>947809</v>
      </c>
    </row>
    <row r="34" spans="1:4" x14ac:dyDescent="0.2">
      <c r="A34" s="135" t="s">
        <v>94</v>
      </c>
      <c r="B34" s="136" t="s">
        <v>1794</v>
      </c>
      <c r="C34" s="130" t="s">
        <v>720</v>
      </c>
      <c r="D34" s="130" t="s">
        <v>721</v>
      </c>
    </row>
    <row r="35" spans="1:4" x14ac:dyDescent="0.2">
      <c r="A35">
        <v>1100</v>
      </c>
      <c r="B35" s="71" t="s">
        <v>727</v>
      </c>
      <c r="C35" s="128">
        <f>ROUND('DOE25'!F60+'DOE25'!G60+'DOE25'!H60+'DOE25'!I60+'DOE25'!J60,0)</f>
        <v>9785915</v>
      </c>
      <c r="D35" s="131">
        <f t="shared" ref="D35:D40" si="1">ROUND((C35/$C$41)*100,1)</f>
        <v>54.5</v>
      </c>
    </row>
    <row r="36" spans="1:4" x14ac:dyDescent="0.2">
      <c r="B36" s="71" t="s">
        <v>739</v>
      </c>
      <c r="C36" s="128">
        <f>SUM('DOE25'!F112:J112)-SUM('DOE25'!G97:G110)+('DOE25'!F175+'DOE25'!F176+'DOE25'!I175+'DOE25'!I176)-C35</f>
        <v>180698.87999999896</v>
      </c>
      <c r="D36" s="131">
        <f t="shared" si="1"/>
        <v>1</v>
      </c>
    </row>
    <row r="37" spans="1:4" x14ac:dyDescent="0.2">
      <c r="A37" s="132" t="s">
        <v>831</v>
      </c>
      <c r="B37" s="71" t="s">
        <v>728</v>
      </c>
      <c r="C37" s="128">
        <f>ROUND('DOE25'!F117+'DOE25'!F118,0)</f>
        <v>6533441</v>
      </c>
      <c r="D37" s="131">
        <f t="shared" si="1"/>
        <v>36.4</v>
      </c>
    </row>
    <row r="38" spans="1:4" x14ac:dyDescent="0.2">
      <c r="A38" s="132" t="s">
        <v>734</v>
      </c>
      <c r="B38" s="71" t="s">
        <v>729</v>
      </c>
      <c r="C38" s="128">
        <f>ROUND(SUM('DOE25'!F140:J140)-SUM('DOE25'!F117:F119),0)</f>
        <v>387946</v>
      </c>
      <c r="D38" s="131">
        <f t="shared" si="1"/>
        <v>2.2000000000000002</v>
      </c>
    </row>
    <row r="39" spans="1:4" x14ac:dyDescent="0.2">
      <c r="A39">
        <v>4000</v>
      </c>
      <c r="B39" s="71" t="s">
        <v>730</v>
      </c>
      <c r="C39" s="128">
        <f>ROUND('DOE25'!F170+'DOE25'!G170+'DOE25'!H170+'DOE25'!I170,0)</f>
        <v>1060570</v>
      </c>
      <c r="D39" s="131">
        <f t="shared" si="1"/>
        <v>5.9</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17948570.879999999</v>
      </c>
      <c r="D41" s="133">
        <f>SUM(D35:D40)</f>
        <v>100.00000000000001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3" sqref="C3:M3"/>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Weare</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40</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IFERROR(SMALL($T$4:$T$95,ROWS($T$4:T4)),"")</f>
        <v>71</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f>IF('School Level Expenditures'!$B$2=A43,'School Tables'!H43,"")</f>
        <v>40</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f>IF('School Level Expenditures'!$B$2='School Tables'!L74,'School Tables'!S74,"")</f>
        <v>71</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2024-10-17T12:39:58Z</dcterms:modified>
</cp:coreProperties>
</file>