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13_ncr:1_{F92012A6-F91E-45B8-A34A-E540988A36C5}" xr6:coauthVersionLast="47" xr6:coauthVersionMax="47" xr10:uidLastSave="{00000000-0000-0000-0000-000000000000}"/>
  <workbookProtection workbookAlgorithmName="SHA-512" workbookHashValue="+FMC73CGk5rq/utjnH83/tk1e2J5vgKDGR2aPyPTAgtd5l0xcvmCLKHRr3sGY0eUNyauVcKTwgX1nurBWwSa9w==" workbookSaltValue="bljeTgkoNtKHyc6bi4/y1A==" workbookSpinCount="100000" lockStructure="1"/>
  <bookViews>
    <workbookView xWindow="28680" yWindow="-120" windowWidth="29040" windowHeight="15840" tabRatio="839"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F104" i="15" l="1"/>
  <c r="S62" i="15"/>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P2" i="14" l="1"/>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F99" i="15" s="1"/>
  <c r="AE101" i="15"/>
  <c r="AE103" i="15"/>
  <c r="AF103" i="15" s="1"/>
  <c r="AE90" i="15"/>
  <c r="AE97" i="15"/>
  <c r="AE75" i="15"/>
  <c r="AE82" i="15"/>
  <c r="AE83" i="15"/>
  <c r="AE73" i="15"/>
  <c r="AE80" i="15"/>
  <c r="AE81" i="15"/>
  <c r="AE78" i="15"/>
  <c r="AE74" i="15"/>
  <c r="AE76" i="15"/>
  <c r="AE85" i="15"/>
  <c r="AE79" i="15"/>
  <c r="AE77" i="15"/>
  <c r="AF77" i="15" s="1"/>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F61" i="15" s="1"/>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AF59" i="15" s="1"/>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15" i="15" l="1"/>
  <c r="AF73" i="15"/>
  <c r="AF91" i="15"/>
  <c r="AF10" i="15"/>
  <c r="AF56" i="15"/>
  <c r="AF70" i="15"/>
  <c r="AF13" i="15"/>
  <c r="AF27" i="15"/>
  <c r="AF51" i="15"/>
  <c r="AF66" i="15"/>
  <c r="AF34" i="15"/>
  <c r="AF65" i="15"/>
  <c r="AF49" i="15"/>
  <c r="AF9" i="15"/>
  <c r="AF48" i="15"/>
  <c r="AF16" i="15"/>
  <c r="AF85" i="15"/>
  <c r="AF82" i="15"/>
  <c r="AF94" i="15"/>
  <c r="AF93" i="15"/>
  <c r="AF7" i="15"/>
  <c r="AF43" i="15"/>
  <c r="AF53" i="15"/>
  <c r="AF79" i="15"/>
  <c r="J12" i="15"/>
  <c r="J20" i="15"/>
  <c r="J28" i="15"/>
  <c r="J36" i="15"/>
  <c r="J44" i="15"/>
  <c r="J52" i="15"/>
  <c r="J60" i="15"/>
  <c r="J68" i="15"/>
  <c r="J76" i="15"/>
  <c r="J84" i="15"/>
  <c r="J92" i="15"/>
  <c r="J100" i="15"/>
  <c r="J108" i="15"/>
  <c r="J116" i="15"/>
  <c r="J124" i="15"/>
  <c r="J132" i="15"/>
  <c r="J140" i="15"/>
  <c r="J148" i="15"/>
  <c r="J156" i="15"/>
  <c r="J164" i="15"/>
  <c r="J172" i="15"/>
  <c r="J180" i="15"/>
  <c r="J188" i="15"/>
  <c r="J196" i="15"/>
  <c r="J204" i="15"/>
  <c r="J212" i="15"/>
  <c r="J220" i="15"/>
  <c r="J228" i="15"/>
  <c r="J236" i="15"/>
  <c r="J244" i="15"/>
  <c r="J252" i="15"/>
  <c r="J260" i="15"/>
  <c r="J268" i="15"/>
  <c r="J276" i="15"/>
  <c r="J284" i="15"/>
  <c r="J292" i="15"/>
  <c r="J300" i="15"/>
  <c r="J308" i="15"/>
  <c r="J316" i="15"/>
  <c r="J324" i="15"/>
  <c r="J332" i="15"/>
  <c r="J21" i="15"/>
  <c r="J61" i="15"/>
  <c r="J109" i="15"/>
  <c r="J149" i="15"/>
  <c r="J189" i="15"/>
  <c r="J229" i="15"/>
  <c r="J269" i="15"/>
  <c r="J309" i="15"/>
  <c r="J39" i="15"/>
  <c r="J71" i="15"/>
  <c r="J119" i="15"/>
  <c r="J167" i="15"/>
  <c r="J207" i="15"/>
  <c r="J247" i="15"/>
  <c r="J287" i="15"/>
  <c r="J6" i="15"/>
  <c r="J14" i="15"/>
  <c r="J22" i="15"/>
  <c r="J30" i="15"/>
  <c r="J38" i="15"/>
  <c r="J46" i="15"/>
  <c r="J54" i="15"/>
  <c r="J62" i="15"/>
  <c r="J70" i="15"/>
  <c r="J78" i="15"/>
  <c r="J86" i="15"/>
  <c r="J94" i="15"/>
  <c r="J102" i="15"/>
  <c r="J110" i="15"/>
  <c r="J118" i="15"/>
  <c r="J126" i="15"/>
  <c r="J134" i="15"/>
  <c r="J142" i="15"/>
  <c r="J150" i="15"/>
  <c r="J158" i="15"/>
  <c r="J166" i="15"/>
  <c r="J174" i="15"/>
  <c r="J182" i="15"/>
  <c r="J190" i="15"/>
  <c r="J198" i="15"/>
  <c r="J206" i="15"/>
  <c r="J214" i="15"/>
  <c r="J222" i="15"/>
  <c r="J230" i="15"/>
  <c r="J238" i="15"/>
  <c r="J246" i="15"/>
  <c r="J254" i="15"/>
  <c r="J262" i="15"/>
  <c r="J270" i="15"/>
  <c r="J278" i="15"/>
  <c r="J286" i="15"/>
  <c r="J294" i="15"/>
  <c r="J302" i="15"/>
  <c r="J310" i="15"/>
  <c r="J318" i="15"/>
  <c r="J326" i="15"/>
  <c r="J334" i="15"/>
  <c r="J8" i="15"/>
  <c r="J16" i="15"/>
  <c r="J24" i="15"/>
  <c r="J32" i="15"/>
  <c r="J40" i="15"/>
  <c r="J48" i="15"/>
  <c r="J56" i="15"/>
  <c r="J64" i="15"/>
  <c r="J72" i="15"/>
  <c r="J80" i="15"/>
  <c r="J88" i="15"/>
  <c r="J96" i="15"/>
  <c r="J104" i="15"/>
  <c r="J112" i="15"/>
  <c r="J120" i="15"/>
  <c r="J128" i="15"/>
  <c r="J136" i="15"/>
  <c r="J144" i="15"/>
  <c r="J152" i="15"/>
  <c r="J160" i="15"/>
  <c r="J168" i="15"/>
  <c r="J176" i="15"/>
  <c r="J184" i="15"/>
  <c r="J192" i="15"/>
  <c r="J200" i="15"/>
  <c r="J208" i="15"/>
  <c r="J216" i="15"/>
  <c r="J224" i="15"/>
  <c r="J232" i="15"/>
  <c r="J240" i="15"/>
  <c r="J248" i="15"/>
  <c r="J256" i="15"/>
  <c r="J264" i="15"/>
  <c r="J272" i="15"/>
  <c r="J280" i="15"/>
  <c r="J288" i="15"/>
  <c r="J296" i="15"/>
  <c r="J304" i="15"/>
  <c r="J312" i="15"/>
  <c r="J320" i="15"/>
  <c r="J328" i="15"/>
  <c r="J29" i="15"/>
  <c r="J69" i="15"/>
  <c r="J93" i="15"/>
  <c r="J133" i="15"/>
  <c r="J173" i="15"/>
  <c r="J213" i="15"/>
  <c r="J253" i="15"/>
  <c r="J293" i="15"/>
  <c r="J333" i="15"/>
  <c r="J23" i="15"/>
  <c r="J63" i="15"/>
  <c r="J103" i="15"/>
  <c r="J143" i="15"/>
  <c r="J183" i="15"/>
  <c r="J231" i="15"/>
  <c r="J9" i="15"/>
  <c r="J17" i="15"/>
  <c r="J25" i="15"/>
  <c r="J33" i="15"/>
  <c r="J41" i="15"/>
  <c r="J49" i="15"/>
  <c r="J57" i="15"/>
  <c r="J65" i="15"/>
  <c r="J73" i="15"/>
  <c r="J81" i="15"/>
  <c r="J89" i="15"/>
  <c r="J97" i="15"/>
  <c r="J105" i="15"/>
  <c r="J113" i="15"/>
  <c r="J121" i="15"/>
  <c r="J129" i="15"/>
  <c r="J137" i="15"/>
  <c r="J145" i="15"/>
  <c r="J153" i="15"/>
  <c r="J161" i="15"/>
  <c r="J169" i="15"/>
  <c r="J177" i="15"/>
  <c r="J185" i="15"/>
  <c r="J193" i="15"/>
  <c r="J201" i="15"/>
  <c r="J209" i="15"/>
  <c r="J217" i="15"/>
  <c r="J225" i="15"/>
  <c r="J233" i="15"/>
  <c r="J241" i="15"/>
  <c r="J249" i="15"/>
  <c r="J257" i="15"/>
  <c r="J265" i="15"/>
  <c r="J273" i="15"/>
  <c r="J281" i="15"/>
  <c r="J289" i="15"/>
  <c r="J297" i="15"/>
  <c r="J305" i="15"/>
  <c r="J313" i="15"/>
  <c r="J321" i="15"/>
  <c r="J329" i="15"/>
  <c r="J5" i="15"/>
  <c r="J45" i="15"/>
  <c r="J85" i="15"/>
  <c r="J125" i="15"/>
  <c r="J165" i="15"/>
  <c r="J205" i="15"/>
  <c r="J245" i="15"/>
  <c r="J285" i="15"/>
  <c r="J325" i="15"/>
  <c r="J31" i="15"/>
  <c r="J79" i="15"/>
  <c r="J111" i="15"/>
  <c r="J151" i="15"/>
  <c r="J191" i="15"/>
  <c r="J223" i="15"/>
  <c r="J263" i="15"/>
  <c r="J10" i="15"/>
  <c r="J18" i="15"/>
  <c r="J26" i="15"/>
  <c r="J34" i="15"/>
  <c r="J42" i="15"/>
  <c r="J50" i="15"/>
  <c r="J58" i="15"/>
  <c r="J66" i="15"/>
  <c r="J74" i="15"/>
  <c r="J82" i="15"/>
  <c r="J90" i="15"/>
  <c r="J98" i="15"/>
  <c r="J106" i="15"/>
  <c r="J114" i="15"/>
  <c r="J122" i="15"/>
  <c r="J130" i="15"/>
  <c r="J138" i="15"/>
  <c r="J146" i="15"/>
  <c r="J154" i="15"/>
  <c r="J162" i="15"/>
  <c r="J170" i="15"/>
  <c r="J178" i="15"/>
  <c r="J186" i="15"/>
  <c r="J194" i="15"/>
  <c r="J202" i="15"/>
  <c r="J210" i="15"/>
  <c r="J218" i="15"/>
  <c r="J226" i="15"/>
  <c r="J234" i="15"/>
  <c r="J242" i="15"/>
  <c r="J250" i="15"/>
  <c r="J258" i="15"/>
  <c r="J266" i="15"/>
  <c r="J274" i="15"/>
  <c r="J282" i="15"/>
  <c r="J290" i="15"/>
  <c r="J298" i="15"/>
  <c r="J306" i="15"/>
  <c r="J314" i="15"/>
  <c r="J322" i="15"/>
  <c r="J330" i="15"/>
  <c r="J37" i="15"/>
  <c r="J77" i="15"/>
  <c r="J101" i="15"/>
  <c r="J141" i="15"/>
  <c r="J181" i="15"/>
  <c r="J221" i="15"/>
  <c r="J261" i="15"/>
  <c r="J301" i="15"/>
  <c r="J7" i="15"/>
  <c r="J55" i="15"/>
  <c r="J95" i="15"/>
  <c r="J135" i="15"/>
  <c r="J175" i="15"/>
  <c r="J215" i="15"/>
  <c r="J255" i="15"/>
  <c r="J11" i="15"/>
  <c r="J19" i="15"/>
  <c r="J27" i="15"/>
  <c r="J35" i="15"/>
  <c r="J43" i="15"/>
  <c r="J51" i="15"/>
  <c r="J59" i="15"/>
  <c r="J67" i="15"/>
  <c r="J75" i="15"/>
  <c r="J83" i="15"/>
  <c r="J91" i="15"/>
  <c r="J99" i="15"/>
  <c r="J107" i="15"/>
  <c r="J115" i="15"/>
  <c r="J123" i="15"/>
  <c r="J131" i="15"/>
  <c r="J139" i="15"/>
  <c r="J147" i="15"/>
  <c r="J155" i="15"/>
  <c r="J163" i="15"/>
  <c r="J171" i="15"/>
  <c r="J179" i="15"/>
  <c r="J187" i="15"/>
  <c r="J195" i="15"/>
  <c r="J203" i="15"/>
  <c r="J211" i="15"/>
  <c r="J219" i="15"/>
  <c r="J227" i="15"/>
  <c r="J235" i="15"/>
  <c r="J243" i="15"/>
  <c r="J251" i="15"/>
  <c r="J259" i="15"/>
  <c r="J267" i="15"/>
  <c r="J275" i="15"/>
  <c r="J283" i="15"/>
  <c r="J291" i="15"/>
  <c r="J299" i="15"/>
  <c r="J307" i="15"/>
  <c r="J315" i="15"/>
  <c r="J323" i="15"/>
  <c r="J331" i="15"/>
  <c r="J13" i="15"/>
  <c r="J53" i="15"/>
  <c r="J117" i="15"/>
  <c r="J157" i="15"/>
  <c r="J197" i="15"/>
  <c r="J237" i="15"/>
  <c r="J277" i="15"/>
  <c r="J317" i="15"/>
  <c r="J15" i="15"/>
  <c r="J47" i="15"/>
  <c r="J87" i="15"/>
  <c r="J127" i="15"/>
  <c r="J159" i="15"/>
  <c r="J199" i="15"/>
  <c r="J239" i="15"/>
  <c r="J271" i="15"/>
  <c r="J279" i="15"/>
  <c r="J295" i="15"/>
  <c r="J303" i="15"/>
  <c r="J319" i="15"/>
  <c r="J311" i="15"/>
  <c r="J4" i="15"/>
  <c r="A6" i="14" s="1" a="1"/>
  <c r="A6" i="14" s="1"/>
  <c r="J327" i="15"/>
  <c r="AF11" i="15"/>
  <c r="AF35" i="15"/>
  <c r="AF62" i="15"/>
  <c r="AF30" i="15"/>
  <c r="AF57" i="15"/>
  <c r="AF41" i="15"/>
  <c r="AF5" i="15"/>
  <c r="AF44" i="15"/>
  <c r="AF12" i="15"/>
  <c r="AF76" i="15"/>
  <c r="AF75" i="15"/>
  <c r="AF98" i="15"/>
  <c r="AF86" i="15"/>
  <c r="AF42" i="15"/>
  <c r="U8" i="15"/>
  <c r="U16" i="15"/>
  <c r="U24" i="15"/>
  <c r="U32" i="15"/>
  <c r="U40" i="15"/>
  <c r="U48" i="15"/>
  <c r="U56" i="15"/>
  <c r="U64" i="15"/>
  <c r="U72" i="15"/>
  <c r="U4" i="15"/>
  <c r="U17" i="15"/>
  <c r="U57" i="15"/>
  <c r="U35" i="15"/>
  <c r="U75" i="15"/>
  <c r="U10" i="15"/>
  <c r="U18" i="15"/>
  <c r="U26" i="15"/>
  <c r="U34" i="15"/>
  <c r="U42" i="15"/>
  <c r="U50" i="15"/>
  <c r="U58" i="15"/>
  <c r="U66" i="15"/>
  <c r="U74" i="15"/>
  <c r="U12" i="15"/>
  <c r="U20" i="15"/>
  <c r="U28" i="15"/>
  <c r="U36" i="15"/>
  <c r="U44" i="15"/>
  <c r="U52" i="15"/>
  <c r="U60" i="15"/>
  <c r="U68" i="15"/>
  <c r="U76" i="15"/>
  <c r="U33" i="15"/>
  <c r="U65" i="15"/>
  <c r="U27" i="15"/>
  <c r="U59" i="15"/>
  <c r="U5" i="15"/>
  <c r="U13" i="15"/>
  <c r="U21" i="15"/>
  <c r="U29" i="15"/>
  <c r="U37" i="15"/>
  <c r="U45" i="15"/>
  <c r="U53" i="15"/>
  <c r="U61" i="15"/>
  <c r="U69" i="15"/>
  <c r="U77" i="15"/>
  <c r="U9" i="15"/>
  <c r="U49" i="15"/>
  <c r="U43" i="15"/>
  <c r="U67" i="15"/>
  <c r="U6" i="15"/>
  <c r="U14" i="15"/>
  <c r="U22" i="15"/>
  <c r="U30" i="15"/>
  <c r="U38" i="15"/>
  <c r="U46" i="15"/>
  <c r="U54" i="15"/>
  <c r="U62" i="15"/>
  <c r="U70" i="15"/>
  <c r="U78" i="15"/>
  <c r="U25" i="15"/>
  <c r="U73" i="15"/>
  <c r="U11" i="15"/>
  <c r="U7" i="15"/>
  <c r="U15" i="15"/>
  <c r="U23" i="15"/>
  <c r="U31" i="15"/>
  <c r="U39" i="15"/>
  <c r="U47" i="15"/>
  <c r="U55" i="15"/>
  <c r="U63" i="15"/>
  <c r="U71" i="15"/>
  <c r="U79" i="15"/>
  <c r="U41" i="15"/>
  <c r="U19" i="15"/>
  <c r="U51" i="15"/>
  <c r="AF38" i="15"/>
  <c r="AF52" i="15"/>
  <c r="AF96" i="15"/>
  <c r="AF71" i="15"/>
  <c r="AF19" i="15"/>
  <c r="AF58" i="15"/>
  <c r="AF26" i="15"/>
  <c r="AF45" i="15"/>
  <c r="AF37" i="15"/>
  <c r="AF72" i="15"/>
  <c r="AF40" i="15"/>
  <c r="AF8" i="15"/>
  <c r="AF74" i="15"/>
  <c r="AF97" i="15"/>
  <c r="AF89" i="15"/>
  <c r="AF95" i="15"/>
  <c r="AF6" i="15"/>
  <c r="AF83" i="15"/>
  <c r="AF55" i="15"/>
  <c r="AF63" i="15"/>
  <c r="AF54" i="15"/>
  <c r="AF22" i="15"/>
  <c r="AF21" i="15"/>
  <c r="AF33" i="15"/>
  <c r="AF68" i="15"/>
  <c r="AF36" i="15"/>
  <c r="AF78" i="15"/>
  <c r="AF90" i="15"/>
  <c r="AF87" i="15"/>
  <c r="AF88" i="15"/>
  <c r="AF17" i="15"/>
  <c r="AF24" i="15"/>
  <c r="AF67" i="15"/>
  <c r="AF92" i="15"/>
  <c r="AF39" i="15"/>
  <c r="AF47" i="15"/>
  <c r="AF50" i="15"/>
  <c r="AF18" i="15"/>
  <c r="AF4" i="15"/>
  <c r="AF29" i="15"/>
  <c r="AF64" i="15"/>
  <c r="AF32" i="15"/>
  <c r="AF81" i="15"/>
  <c r="AF102" i="15"/>
  <c r="AF20" i="15"/>
  <c r="AF23" i="15"/>
  <c r="AF31" i="15"/>
  <c r="AF46" i="15"/>
  <c r="AF14" i="15"/>
  <c r="AF69" i="15"/>
  <c r="AF25" i="15"/>
  <c r="AF60" i="15"/>
  <c r="AF28" i="15"/>
  <c r="AF84" i="15"/>
  <c r="AF80" i="15"/>
  <c r="AF101" i="15"/>
  <c r="AF100" i="15"/>
  <c r="A20" i="14" a="1"/>
  <c r="A20" i="14" s="1"/>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C37" i="10"/>
  <c r="B16" i="14" l="1"/>
  <c r="B11" i="14"/>
  <c r="B18" i="14"/>
  <c r="C18" i="14" s="1"/>
  <c r="B8" i="14"/>
  <c r="C8" i="14" s="1"/>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9" i="14"/>
  <c r="C19" i="14"/>
  <c r="C17" i="14"/>
  <c r="C33" i="14" a="1"/>
  <c r="C33" i="14" s="1"/>
  <c r="C13" i="14"/>
  <c r="C11" i="14"/>
  <c r="B20" i="14"/>
  <c r="J20" i="14"/>
  <c r="B6" i="14"/>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652" i="1" s="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C131" i="2" s="1"/>
  <c r="L262" i="1"/>
  <c r="C132" i="2" s="1"/>
  <c r="L342" i="1"/>
  <c r="L343" i="1"/>
  <c r="E132" i="2" s="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C58" i="2" s="1"/>
  <c r="F111" i="1"/>
  <c r="G111" i="1"/>
  <c r="H79" i="1"/>
  <c r="H94" i="1"/>
  <c r="H111" i="1"/>
  <c r="I111" i="1"/>
  <c r="I112" i="1" s="1"/>
  <c r="J111" i="1"/>
  <c r="F121" i="1"/>
  <c r="F136" i="1"/>
  <c r="G121" i="1"/>
  <c r="G136" i="1"/>
  <c r="H121" i="1"/>
  <c r="H136" i="1"/>
  <c r="H140" i="1" s="1"/>
  <c r="I121" i="1"/>
  <c r="I136" i="1"/>
  <c r="J121" i="1"/>
  <c r="J136" i="1"/>
  <c r="J140" i="1" s="1"/>
  <c r="F147" i="1"/>
  <c r="F170" i="1" s="1"/>
  <c r="G147" i="1"/>
  <c r="D85" i="2" s="1"/>
  <c r="H147" i="1"/>
  <c r="H170" i="1" s="1"/>
  <c r="I147" i="1"/>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E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H73" i="2" s="1"/>
  <c r="F73" i="2"/>
  <c r="C74" i="2"/>
  <c r="H74" i="2" s="1"/>
  <c r="C75" i="2"/>
  <c r="H75" i="2" s="1"/>
  <c r="C76" i="2"/>
  <c r="E76" i="2"/>
  <c r="F76" i="2"/>
  <c r="C77" i="2"/>
  <c r="D77" i="2"/>
  <c r="D78" i="2" s="1"/>
  <c r="E77" i="2"/>
  <c r="F77" i="2"/>
  <c r="G77" i="2"/>
  <c r="G78" i="2" s="1"/>
  <c r="C79" i="2"/>
  <c r="D79" i="2"/>
  <c r="E79" i="2"/>
  <c r="C80" i="2"/>
  <c r="E80" i="2"/>
  <c r="F85"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F128" i="2"/>
  <c r="G128" i="2"/>
  <c r="C130" i="2"/>
  <c r="D134" i="2"/>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F409" i="1" s="1"/>
  <c r="H644" i="1" s="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1" i="1"/>
  <c r="G644" i="1"/>
  <c r="G645" i="1"/>
  <c r="H653" i="1"/>
  <c r="G654" i="1"/>
  <c r="H654" i="1"/>
  <c r="H655" i="1"/>
  <c r="H656" i="1"/>
  <c r="I170" i="1"/>
  <c r="H93" i="2" l="1"/>
  <c r="H87" i="2"/>
  <c r="G477" i="1"/>
  <c r="B33" i="16" s="1"/>
  <c r="C32" i="10"/>
  <c r="G646" i="1"/>
  <c r="G409" i="1"/>
  <c r="H646" i="1" s="1"/>
  <c r="E125" i="2"/>
  <c r="G663" i="1"/>
  <c r="E124" i="2"/>
  <c r="E120" i="2"/>
  <c r="E112" i="2"/>
  <c r="E111" i="2"/>
  <c r="C125" i="2"/>
  <c r="G651" i="1"/>
  <c r="H97" i="2"/>
  <c r="H61" i="2"/>
  <c r="H26" i="2"/>
  <c r="H22" i="2"/>
  <c r="H477" i="1"/>
  <c r="H625" i="1" s="1"/>
  <c r="J625" i="1" s="1"/>
  <c r="G62" i="2"/>
  <c r="D29" i="13"/>
  <c r="C29" i="13" s="1"/>
  <c r="I409" i="1"/>
  <c r="C85" i="2"/>
  <c r="C91" i="2" s="1"/>
  <c r="J652" i="1"/>
  <c r="H72" i="2"/>
  <c r="D18" i="13"/>
  <c r="C18" i="13" s="1"/>
  <c r="G662" i="1"/>
  <c r="J112" i="1"/>
  <c r="J194" i="1" s="1"/>
  <c r="G647" i="1" s="1"/>
  <c r="H35" i="2"/>
  <c r="H13" i="2"/>
  <c r="E13" i="13"/>
  <c r="C13" i="13" s="1"/>
  <c r="H69" i="2"/>
  <c r="H30" i="2"/>
  <c r="H28" i="2"/>
  <c r="H25" i="2"/>
  <c r="H17" i="2"/>
  <c r="H38" i="2"/>
  <c r="H43" i="2"/>
  <c r="H47" i="2"/>
  <c r="D144" i="2"/>
  <c r="H102" i="2"/>
  <c r="H100" i="2"/>
  <c r="H98" i="2"/>
  <c r="H23" i="2"/>
  <c r="H15" i="2"/>
  <c r="H11" i="2"/>
  <c r="H143" i="2"/>
  <c r="H9" i="2"/>
  <c r="H96" i="2"/>
  <c r="H80" i="2"/>
  <c r="H77" i="2"/>
  <c r="H89" i="2"/>
  <c r="H59" i="2"/>
  <c r="H34" i="2"/>
  <c r="D15" i="13"/>
  <c r="C15" i="13" s="1"/>
  <c r="C120" i="2"/>
  <c r="H94" i="2"/>
  <c r="H29" i="2"/>
  <c r="H27" i="2"/>
  <c r="H24" i="2"/>
  <c r="H12" i="2"/>
  <c r="H8" i="2"/>
  <c r="H132" i="2"/>
  <c r="H36" i="2"/>
  <c r="H44" i="2"/>
  <c r="H48" i="2"/>
  <c r="H101" i="2"/>
  <c r="H99" i="2"/>
  <c r="H79" i="2"/>
  <c r="H76" i="2"/>
  <c r="H58" i="2"/>
  <c r="H113" i="2"/>
  <c r="C119" i="2"/>
  <c r="C13" i="10"/>
  <c r="C112" i="2"/>
  <c r="C12" i="10"/>
  <c r="K36" i="14"/>
  <c r="K37" i="14" s="1"/>
  <c r="K2" i="14"/>
  <c r="K3" i="14" s="1"/>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H138" i="2" s="1"/>
  <c r="L363" i="1"/>
  <c r="B17" i="16" s="1"/>
  <c r="B19" i="16" s="1"/>
  <c r="B28" i="16"/>
  <c r="L329" i="1"/>
  <c r="E122" i="2"/>
  <c r="L291" i="1"/>
  <c r="L615" i="1"/>
  <c r="K599" i="1"/>
  <c r="G648" i="1" s="1"/>
  <c r="K572" i="1"/>
  <c r="L571" i="1"/>
  <c r="H572" i="1"/>
  <c r="L566" i="1"/>
  <c r="L572" i="1" s="1"/>
  <c r="I572" i="1"/>
  <c r="K546" i="1"/>
  <c r="H52" i="1"/>
  <c r="H620" i="1" s="1"/>
  <c r="J620" i="1" s="1"/>
  <c r="C114" i="2"/>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G140" i="1"/>
  <c r="B11" i="16" s="1"/>
  <c r="F140" i="1"/>
  <c r="G63" i="2"/>
  <c r="J619" i="1"/>
  <c r="G42" i="2"/>
  <c r="G50" i="2" s="1"/>
  <c r="J51" i="1"/>
  <c r="G16" i="2"/>
  <c r="G18" i="2" s="1"/>
  <c r="J19" i="1"/>
  <c r="G622" i="1" s="1"/>
  <c r="F546" i="1"/>
  <c r="H435" i="1"/>
  <c r="D103" i="2"/>
  <c r="I140" i="1"/>
  <c r="A22" i="12"/>
  <c r="J653" i="1"/>
  <c r="G572" i="1"/>
  <c r="I435" i="1"/>
  <c r="G435" i="1"/>
  <c r="I664" i="1"/>
  <c r="H624" i="1" l="1"/>
  <c r="J624" i="1" s="1"/>
  <c r="J646" i="1"/>
  <c r="H62" i="2"/>
  <c r="E51" i="2"/>
  <c r="F194" i="1"/>
  <c r="G628" i="1" s="1"/>
  <c r="J628" i="1" s="1"/>
  <c r="H125" i="2"/>
  <c r="H124" i="2"/>
  <c r="H120" i="2"/>
  <c r="H112" i="2"/>
  <c r="I663" i="1"/>
  <c r="H119" i="2"/>
  <c r="I662" i="1"/>
  <c r="H122" i="2"/>
  <c r="H123" i="2"/>
  <c r="H114" i="2"/>
  <c r="H31" i="2"/>
  <c r="H134" i="2"/>
  <c r="H18" i="2"/>
  <c r="H21" i="2"/>
  <c r="H50" i="2"/>
  <c r="H91" i="2"/>
  <c r="D128" i="2"/>
  <c r="D145" i="2" s="1"/>
  <c r="H127" i="2"/>
  <c r="D51" i="2"/>
  <c r="H85" i="2"/>
  <c r="C81" i="2"/>
  <c r="H81" i="2" s="1"/>
  <c r="H78" i="2"/>
  <c r="H57" i="2"/>
  <c r="H103" i="2"/>
  <c r="H16" i="2"/>
  <c r="H42" i="2"/>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C104" i="2" l="1"/>
  <c r="H104" i="2" s="1"/>
  <c r="H63" i="2"/>
  <c r="C144" i="2"/>
  <c r="C145" i="2" s="1"/>
  <c r="H141" i="2"/>
  <c r="H51" i="2"/>
  <c r="H128" i="2"/>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H144" i="2"/>
  <c r="H145"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321E1E84-CC34-4D07-ABFA-CE139137567C}">
      <text>
        <r>
          <rPr>
            <b/>
            <sz val="9"/>
            <color indexed="81"/>
            <rFont val="Tahoma"/>
            <family val="2"/>
          </rPr>
          <t>COE-Brown, Pinkerton, and Prospect Mtn. only.</t>
        </r>
        <r>
          <rPr>
            <sz val="9"/>
            <color indexed="81"/>
            <rFont val="Tahoma"/>
            <family val="2"/>
          </rPr>
          <t xml:space="preserve">
</t>
        </r>
      </text>
    </comment>
    <comment ref="A582" authorId="1" shapeId="0" xr:uid="{6EDB03AD-F3AB-4203-9814-B3D49C4DF427}">
      <text>
        <r>
          <rPr>
            <b/>
            <sz val="9"/>
            <color indexed="81"/>
            <rFont val="Tahoma"/>
            <family val="2"/>
          </rPr>
          <t>COE-Brown, Pinkerton, and Prospect Mtn only.</t>
        </r>
        <r>
          <rPr>
            <sz val="9"/>
            <color indexed="81"/>
            <rFont val="Tahoma"/>
            <family val="2"/>
          </rPr>
          <t xml:space="preserve">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<sst xmlns="http://schemas.openxmlformats.org/spreadsheetml/2006/main" count="6645" uniqueCount="1847">
  <si>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</si>
  <si>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</si>
  <si>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</si>
  <si>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</si>
  <si>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</si>
  <si>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</si>
  <si>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</si>
  <si>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</si>
  <si>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</si>
  <si>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</si>
  <si>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</si>
  <si>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</si>
  <si>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</si>
  <si>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</si>
  <si>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</si>
  <si>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</si>
  <si>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</si>
  <si>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</si>
  <si>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</si>
  <si>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</si>
  <si>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</si>
  <si>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</si>
  <si>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</si>
  <si>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</si>
  <si>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</si>
  <si>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</si>
  <si>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</si>
  <si>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</si>
  <si>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</si>
  <si>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</si>
  <si>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</si>
  <si>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</si>
  <si>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</si>
  <si>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</si>
  <si>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</si>
  <si>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</si>
  <si>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</si>
  <si>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</si>
  <si>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</si>
  <si>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</si>
  <si>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</si>
  <si>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</si>
  <si>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</si>
  <si>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</si>
  <si>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</si>
  <si>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</si>
  <si>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</si>
  <si>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</si>
  <si>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</si>
  <si>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</si>
  <si>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</si>
  <si>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</si>
  <si>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</si>
  <si>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</si>
  <si>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</si>
  <si>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</si>
  <si>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</si>
  <si>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</si>
  <si>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</si>
  <si>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</si>
  <si>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</si>
  <si>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</si>
  <si>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</si>
  <si>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</si>
  <si>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</si>
  <si>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</si>
  <si>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</si>
  <si>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</si>
  <si>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</si>
  <si>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</si>
  <si>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</si>
  <si>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</si>
  <si>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</si>
  <si>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</si>
  <si>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</si>
  <si>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</si>
  <si>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</si>
  <si>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</si>
  <si>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</si>
  <si>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</si>
  <si>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</si>
  <si>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</si>
  <si>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</si>
  <si>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</si>
  <si>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</si>
  <si>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</si>
  <si>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</si>
  <si>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</si>
  <si>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</si>
  <si>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</si>
  <si>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</si>
  <si>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</si>
  <si>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</si>
  <si>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</si>
  <si>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</si>
  <si>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</si>
  <si>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</si>
  <si>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</si>
  <si>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</si>
  <si>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</si>
  <si>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</si>
  <si>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</si>
  <si>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</si>
  <si>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</si>
  <si>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</si>
  <si>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</si>
  <si>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</si>
  <si>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</si>
  <si>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</si>
  <si>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</si>
  <si>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</si>
  <si>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</si>
  <si>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</si>
  <si>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</si>
  <si>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</si>
  <si>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</si>
  <si>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</si>
  <si>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</si>
  <si>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</si>
  <si>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</si>
  <si>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</si>
  <si>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</si>
  <si>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</si>
  <si>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</si>
  <si>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</si>
  <si>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</si>
  <si>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</si>
  <si>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</si>
  <si>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</si>
  <si>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</si>
  <si>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</si>
  <si>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</si>
  <si>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</si>
  <si>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</si>
  <si>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</si>
  <si>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</si>
  <si>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</si>
  <si>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</si>
  <si>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</si>
  <si>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</si>
  <si>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</si>
  <si>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</si>
  <si>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</si>
  <si>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</si>
  <si>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</si>
  <si>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</si>
  <si>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</si>
  <si>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</si>
  <si>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</si>
  <si>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</si>
  <si>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</si>
  <si>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</si>
  <si>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</si>
  <si>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</si>
  <si>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</si>
  <si>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</si>
  <si>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</si>
  <si>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</si>
  <si>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</si>
  <si>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</si>
  <si>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</si>
  <si>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</si>
  <si>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</si>
  <si>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</si>
  <si>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</si>
  <si>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</si>
  <si>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</si>
  <si>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</si>
  <si>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</si>
  <si>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</si>
  <si>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</si>
  <si>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</si>
  <si>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</si>
  <si>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</si>
  <si>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</si>
  <si>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</si>
  <si>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</si>
  <si>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</si>
  <si>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</si>
  <si>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</si>
  <si>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</si>
  <si>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</si>
  <si>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</si>
  <si>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</si>
  <si>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</si>
  <si>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</si>
  <si>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</si>
  <si>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</si>
  <si>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</si>
  <si>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</si>
  <si>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</si>
  <si>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</si>
  <si>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</si>
  <si>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</si>
  <si>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</si>
  <si>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</si>
  <si>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</si>
  <si>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</si>
  <si>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</si>
  <si>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</si>
  <si>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</si>
  <si>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</si>
  <si>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</si>
  <si>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</si>
  <si>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</si>
  <si>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</si>
  <si>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</si>
  <si>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</si>
  <si>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</si>
  <si>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</si>
  <si>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</si>
  <si>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</si>
  <si>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</si>
  <si>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</si>
  <si>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</si>
  <si>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</si>
  <si>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</si>
  <si>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</si>
  <si>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</si>
  <si>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</si>
  <si>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</si>
  <si>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</si>
  <si>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</si>
  <si>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</si>
  <si>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</si>
  <si>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</si>
  <si>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</si>
  <si>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</si>
  <si>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</si>
  <si>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</si>
  <si>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</si>
  <si>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</si>
  <si>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</si>
  <si>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</si>
  <si>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</si>
  <si>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</si>
  <si>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</si>
  <si>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</si>
  <si>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</si>
  <si>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</si>
  <si>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</si>
  <si>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</si>
  <si>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</si>
  <si>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</si>
  <si>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</si>
  <si>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</si>
  <si>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</si>
  <si>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</si>
  <si>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</si>
  <si>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</si>
  <si>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</si>
  <si>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</si>
  <si>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</si>
  <si>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</si>
  <si>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</si>
  <si>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</si>
  <si>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</si>
  <si>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</si>
  <si>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</si>
  <si>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</si>
  <si>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</si>
  <si>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</si>
  <si>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</si>
  <si>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</si>
  <si>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</si>
  <si>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</si>
  <si>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</si>
  <si>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</si>
  <si>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</si>
  <si>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</si>
  <si>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</si>
  <si>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</si>
  <si>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</si>
  <si>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</si>
  <si>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</si>
  <si>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</si>
  <si>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</si>
  <si>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</si>
  <si>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</si>
  <si>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</si>
  <si>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</si>
  <si>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</si>
  <si>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</si>
  <si>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</si>
  <si>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</si>
  <si>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</si>
  <si>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</si>
  <si>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</si>
  <si>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</si>
  <si>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</si>
  <si>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</si>
  <si>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</si>
  <si>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</si>
  <si>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</si>
  <si>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</si>
  <si>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</si>
  <si>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</si>
  <si>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</si>
  <si>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</si>
  <si>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</si>
  <si>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</si>
  <si>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</si>
  <si>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</si>
  <si>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</si>
  <si>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</si>
  <si>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</si>
  <si>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</si>
  <si>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</si>
  <si>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</si>
  <si>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</si>
  <si>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</si>
  <si>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</si>
  <si>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</si>
  <si>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</si>
  <si>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</si>
  <si>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</si>
  <si>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</si>
  <si>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</si>
  <si>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</si>
  <si>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</si>
  <si>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</si>
  <si>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</si>
  <si>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</si>
  <si>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</si>
  <si>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</si>
  <si>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</si>
  <si>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</si>
  <si>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</si>
  <si>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</si>
  <si>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</si>
  <si>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</si>
  <si>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</si>
  <si>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</si>
  <si>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</si>
  <si>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</si>
  <si>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</si>
  <si>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</si>
  <si>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</si>
  <si>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</si>
  <si>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</si>
  <si>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</si>
  <si>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</si>
  <si>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</si>
  <si>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</si>
  <si>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</si>
  <si>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</si>
  <si>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</si>
  <si>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</si>
  <si>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</si>
  <si>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</si>
  <si>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</si>
  <si>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</si>
  <si>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</si>
  <si>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</si>
  <si>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</si>
  <si>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</si>
  <si>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</si>
  <si>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</si>
  <si>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</si>
  <si>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</si>
  <si>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</si>
  <si>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</si>
  <si>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</si>
  <si>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</si>
  <si>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</si>
  <si>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</si>
  <si>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</si>
  <si>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</si>
  <si>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</si>
  <si>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</si>
  <si>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</si>
  <si>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</si>
  <si>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</si>
  <si>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</si>
  <si>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</si>
  <si>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</si>
  <si>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</si>
  <si>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</si>
  <si>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</si>
  <si>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</si>
  <si>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</si>
  <si>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</si>
  <si>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</si>
  <si>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</si>
  <si>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</si>
  <si>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</si>
  <si>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</si>
  <si>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</si>
  <si>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</si>
  <si>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</si>
  <si>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</si>
  <si>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</si>
  <si>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</si>
  <si>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</si>
  <si>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</si>
  <si>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</si>
  <si>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</si>
  <si>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</si>
  <si>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</si>
  <si>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</si>
  <si>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</si>
  <si>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</si>
  <si>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</si>
  <si>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</si>
  <si>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</si>
  <si>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</si>
  <si>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</si>
  <si>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</si>
  <si>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</si>
  <si>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</si>
  <si>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</si>
  <si>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</si>
  <si>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</si>
  <si>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</si>
  <si>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</si>
  <si>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</si>
  <si>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</si>
  <si>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</si>
  <si>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</si>
  <si>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</si>
  <si>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</si>
  <si>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</si>
  <si>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</si>
  <si>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</si>
  <si>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</si>
  <si>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</si>
  <si>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</si>
  <si>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</si>
  <si>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</si>
  <si>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</si>
  <si>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</si>
  <si>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</si>
  <si>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</si>
  <si>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</si>
  <si>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</si>
  <si>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</si>
  <si>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</si>
  <si>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</si>
  <si>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</si>
  <si>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</si>
  <si>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</si>
  <si>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</si>
  <si>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</si>
  <si>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</si>
  <si>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</si>
  <si>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</si>
  <si>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</si>
  <si>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</si>
  <si>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</si>
  <si>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</si>
  <si>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</si>
  <si>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</si>
  <si>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</si>
  <si>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</si>
  <si>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</si>
  <si>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</si>
  <si>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</si>
  <si>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</si>
  <si>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</si>
  <si>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</si>
  <si>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</si>
  <si>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</si>
  <si>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</si>
  <si>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</si>
  <si>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</si>
  <si>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</si>
  <si>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</si>
  <si>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</si>
  <si>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</si>
  <si>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</si>
  <si>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</si>
  <si>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</si>
  <si>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</si>
  <si>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</si>
  <si>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</si>
  <si>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</si>
  <si>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</si>
  <si>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</si>
  <si>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</si>
  <si>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</si>
  <si>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</si>
  <si>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</si>
  <si>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</si>
  <si>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</si>
  <si>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</si>
  <si>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</si>
  <si>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</si>
  <si>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</si>
  <si>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</si>
  <si>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</si>
  <si>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</si>
  <si>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</si>
  <si>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</si>
  <si>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</si>
  <si>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</si>
  <si>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</si>
  <si>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</si>
  <si>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</si>
  <si>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</si>
  <si>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</si>
  <si>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</si>
  <si>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</si>
  <si>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</si>
  <si>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</si>
  <si>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</si>
  <si>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</si>
  <si>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</si>
  <si>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</si>
  <si>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</si>
  <si>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</si>
  <si>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</si>
  <si>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</si>
  <si>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</si>
  <si>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</si>
  <si>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</si>
  <si>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</si>
  <si>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</si>
  <si>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</si>
  <si>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</si>
  <si>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</si>
  <si>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</si>
  <si>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</si>
  <si>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</si>
  <si>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</si>
  <si>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</si>
  <si>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</si>
  <si>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</si>
  <si>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</si>
  <si>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</si>
  <si>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</si>
  <si>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</si>
  <si>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</si>
  <si>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</si>
  <si>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</si>
  <si>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</si>
  <si>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</si>
  <si>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</si>
  <si>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</si>
  <si>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</si>
  <si>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</si>
  <si>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</si>
  <si>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</si>
  <si>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</si>
  <si>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</si>
  <si>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</si>
  <si>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</si>
  <si>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</si>
  <si>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</si>
  <si>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</si>
  <si>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</si>
  <si>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</si>
  <si>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</si>
  <si>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</si>
  <si>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</si>
  <si>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</si>
  <si>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</si>
  <si>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</si>
  <si>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</si>
  <si>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</si>
  <si>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</si>
  <si>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</si>
  <si>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</si>
  <si>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</si>
  <si>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</si>
  <si>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</si>
  <si>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</si>
  <si>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</si>
  <si>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</si>
  <si>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</si>
  <si>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</si>
  <si>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</si>
  <si>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</si>
  <si>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</si>
  <si>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</si>
  <si>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</si>
  <si>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</si>
  <si>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</si>
  <si>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</si>
  <si>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</si>
  <si>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</si>
  <si>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</si>
  <si>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</si>
  <si>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</si>
  <si>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</si>
  <si>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</si>
  <si>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</si>
  <si>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</si>
  <si>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</si>
  <si>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</si>
  <si>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</si>
  <si>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</si>
  <si>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</si>
  <si>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</si>
  <si>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</si>
  <si>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</si>
  <si>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</si>
  <si>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</si>
  <si>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</si>
  <si>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</si>
  <si>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</si>
  <si>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</si>
  <si>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</si>
  <si>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</si>
  <si>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</si>
  <si>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</si>
  <si>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</si>
  <si>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</si>
  <si>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</si>
  <si>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</si>
  <si>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</si>
  <si>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</si>
  <si>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</si>
  <si>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</si>
  <si>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</si>
  <si>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</si>
  <si>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</si>
  <si>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</si>
  <si>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</si>
  <si>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</si>
  <si>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</si>
  <si>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</si>
  <si>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</si>
  <si>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</si>
  <si>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</si>
  <si>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</si>
  <si>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</si>
  <si>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</si>
  <si>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</si>
  <si>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</si>
  <si>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</si>
  <si>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</si>
  <si>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</si>
  <si>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</si>
  <si>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</si>
  <si>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</si>
  <si>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</si>
  <si>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</si>
  <si>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</si>
  <si>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</si>
  <si>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</si>
  <si>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</si>
  <si>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</si>
  <si>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</si>
  <si>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</si>
  <si>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</si>
  <si>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</si>
  <si>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</si>
  <si>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</si>
  <si>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</si>
  <si>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</si>
  <si>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</si>
  <si>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</si>
  <si>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</si>
  <si>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</si>
  <si>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</si>
  <si>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</si>
  <si>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</si>
  <si>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</si>
  <si>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</si>
  <si>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</si>
  <si>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</si>
  <si>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</si>
  <si>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</si>
  <si>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</si>
  <si>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</si>
  <si>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</si>
  <si>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</si>
  <si>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</si>
  <si>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</si>
  <si>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</si>
  <si>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</si>
  <si>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</si>
  <si>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</si>
  <si>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</si>
  <si>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</si>
  <si>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</si>
  <si>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</si>
  <si>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</si>
  <si>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</si>
  <si>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</si>
  <si>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</si>
  <si>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</si>
  <si>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</si>
  <si>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</si>
  <si>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</si>
  <si>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</si>
  <si>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</si>
  <si>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</si>
  <si>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</si>
  <si>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</si>
  <si>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</si>
  <si>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</si>
  <si>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</si>
  <si>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</si>
  <si>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</si>
  <si>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</si>
  <si>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</si>
  <si>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</si>
  <si>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</si>
  <si>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</si>
  <si>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</si>
  <si>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</si>
  <si>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</si>
  <si>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</si>
  <si>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</si>
  <si>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</si>
  <si>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</si>
  <si>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</si>
  <si>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</si>
  <si>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</si>
  <si>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</si>
  <si>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</si>
  <si>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</si>
  <si>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</si>
  <si>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</si>
  <si>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</si>
  <si>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</si>
  <si>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</si>
  <si>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</si>
  <si>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</si>
  <si>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</si>
  <si>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</si>
  <si>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</si>
  <si>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</si>
  <si>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</si>
  <si>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</si>
  <si>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</si>
  <si>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</si>
  <si>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</si>
  <si>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</si>
  <si>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</si>
  <si>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</si>
  <si>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</si>
  <si>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</si>
  <si>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</si>
  <si>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</si>
  <si>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</si>
  <si>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</si>
  <si>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</si>
  <si>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</si>
  <si>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</si>
  <si>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</si>
  <si>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</si>
  <si>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</si>
  <si>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</si>
  <si>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</si>
  <si>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</si>
  <si>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</si>
  <si>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</si>
  <si>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</si>
  <si>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</si>
  <si>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</si>
  <si>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</si>
  <si>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</si>
  <si>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</si>
  <si>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</si>
  <si>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</si>
  <si>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</si>
  <si>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</si>
  <si>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</si>
  <si>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</si>
  <si>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</si>
  <si>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</si>
  <si>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</si>
  <si>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</si>
  <si>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</si>
  <si>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</si>
  <si>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</si>
  <si>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</si>
  <si>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</si>
  <si>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</si>
  <si>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</si>
  <si>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</si>
  <si>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</si>
  <si>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</si>
  <si>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</si>
  <si>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</si>
  <si>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</si>
  <si>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</si>
  <si>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</si>
  <si>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</si>
  <si>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</si>
  <si>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</si>
  <si>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</si>
  <si>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</si>
  <si>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</si>
  <si>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</si>
  <si>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</si>
  <si>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</si>
  <si>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</si>
  <si>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</si>
  <si>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</si>
  <si>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</si>
  <si>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</si>
  <si>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</si>
  <si>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</si>
  <si>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</si>
  <si>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</si>
  <si>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</si>
  <si>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</si>
  <si>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</si>
  <si>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</si>
  <si>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</si>
  <si>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</si>
  <si>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</si>
  <si>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</si>
  <si>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</si>
  <si>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</si>
  <si>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</si>
  <si>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</si>
  <si>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</si>
  <si>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</si>
  <si>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</si>
  <si>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</si>
  <si>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</si>
  <si>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</si>
  <si>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</si>
  <si>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</si>
  <si>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</si>
  <si>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</si>
  <si>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</si>
  <si>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</si>
  <si>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</si>
  <si>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</si>
  <si>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</si>
  <si>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</si>
  <si>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</si>
  <si>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</si>
  <si>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</si>
  <si>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</si>
  <si>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</si>
  <si>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</si>
  <si>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</si>
  <si>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</si>
  <si>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</si>
  <si>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</si>
  <si>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</si>
  <si>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</si>
  <si>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</si>
  <si>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</si>
  <si>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</si>
  <si>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</si>
  <si>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</si>
  <si>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</si>
  <si>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</si>
  <si>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</si>
  <si>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</si>
  <si>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</si>
  <si>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</si>
  <si>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</si>
  <si>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</si>
  <si>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</si>
  <si>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</si>
  <si>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</si>
  <si>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</si>
  <si>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</si>
  <si>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</si>
  <si>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</si>
  <si>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</si>
  <si>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</si>
  <si>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</si>
  <si>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</si>
  <si>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</si>
  <si>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</si>
  <si>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</si>
  <si>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</si>
  <si>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</si>
  <si>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</si>
  <si>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</si>
  <si>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</si>
  <si>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</si>
  <si>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</si>
  <si>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</si>
  <si>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</si>
  <si>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</si>
  <si>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</si>
  <si>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</si>
  <si>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</si>
  <si>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</si>
  <si>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</si>
  <si>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</si>
  <si>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</si>
  <si>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</si>
  <si>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</si>
  <si>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</si>
  <si>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</si>
  <si>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</si>
  <si>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</si>
  <si>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</si>
  <si>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</si>
  <si>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</si>
  <si>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</si>
  <si>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</si>
  <si>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</si>
  <si>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</si>
  <si>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</si>
  <si>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</si>
  <si>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</si>
  <si>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</si>
  <si>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</si>
  <si>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</si>
  <si>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</si>
  <si>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</si>
  <si>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</si>
  <si>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</si>
  <si>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</si>
  <si>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</si>
  <si>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</si>
  <si>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</si>
  <si>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</si>
  <si>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</si>
  <si>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</si>
  <si>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</si>
  <si>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</si>
  <si>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</si>
  <si>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</si>
  <si>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</si>
  <si>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</si>
  <si>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</si>
  <si>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</si>
  <si>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</si>
  <si>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</si>
  <si>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</si>
  <si>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</si>
  <si>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</si>
  <si>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</si>
  <si>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</si>
  <si>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</si>
  <si>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</si>
  <si>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</si>
  <si>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</si>
  <si>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</si>
  <si>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</si>
  <si>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</si>
  <si>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</si>
  <si>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</si>
  <si>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</si>
  <si>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</si>
  <si>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</si>
  <si>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</si>
  <si>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</si>
  <si>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</si>
  <si>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</si>
  <si>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</si>
  <si>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</si>
  <si>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</si>
  <si>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</si>
  <si>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</si>
  <si>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</si>
  <si>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</si>
  <si>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</si>
  <si>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</si>
  <si>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</si>
  <si>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</si>
  <si>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</si>
  <si>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</si>
  <si>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</si>
  <si>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</si>
  <si>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</si>
  <si>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</si>
  <si>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</si>
  <si>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</si>
  <si>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</si>
  <si>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</si>
  <si>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</si>
  <si>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</si>
  <si>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</si>
  <si>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</si>
  <si>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</si>
  <si>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</si>
  <si>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</si>
  <si>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</si>
  <si>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</si>
  <si>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</si>
  <si>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</si>
  <si>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</si>
  <si>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</si>
  <si>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</si>
  <si>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</si>
  <si>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</si>
  <si>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</si>
  <si>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</si>
  <si>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</si>
  <si>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</si>
  <si>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</si>
  <si>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</si>
  <si>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</si>
  <si>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</si>
  <si>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</si>
  <si>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</si>
  <si>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</si>
  <si>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</si>
  <si>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</si>
  <si>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</si>
  <si>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</si>
  <si>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</si>
  <si>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</si>
  <si>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</si>
  <si>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</si>
  <si>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</si>
  <si>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</si>
  <si>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</si>
  <si>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</si>
  <si>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</si>
  <si>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</si>
  <si>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</si>
  <si>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</si>
  <si>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</si>
  <si>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</si>
  <si>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</si>
  <si>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</si>
  <si>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</si>
  <si>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</si>
  <si>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</si>
  <si>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</si>
  <si>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</si>
  <si>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</si>
  <si>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</si>
  <si>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</si>
  <si>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</si>
  <si>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</si>
  <si>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</si>
  <si>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</si>
  <si>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</si>
  <si>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</si>
  <si>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</si>
  <si>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</si>
  <si>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</si>
  <si>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</si>
  <si>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</si>
  <si>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</si>
  <si>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</si>
  <si>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</si>
  <si>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</si>
  <si>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</si>
  <si>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</si>
  <si>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</si>
  <si>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</si>
  <si>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</si>
  <si>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</si>
  <si>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</si>
  <si>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</si>
  <si>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</si>
  <si>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</si>
  <si>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</si>
  <si>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</si>
  <si>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</si>
  <si>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</si>
  <si>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</si>
  <si>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</si>
  <si>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</si>
  <si>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</si>
  <si>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</si>
  <si>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</si>
  <si>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</si>
  <si>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</si>
  <si>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</si>
  <si>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</si>
  <si>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</si>
  <si>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</si>
  <si>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</si>
  <si>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</si>
  <si>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</si>
  <si>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</si>
  <si>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</si>
  <si>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</si>
  <si>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</si>
  <si>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</si>
  <si>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</si>
  <si>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</si>
  <si>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</si>
  <si>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</si>
  <si>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</si>
  <si>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</si>
  <si>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</si>
  <si>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</si>
  <si>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</si>
  <si>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</si>
  <si>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</si>
  <si>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</si>
  <si>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</si>
  <si>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</si>
  <si>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</si>
  <si>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</si>
  <si>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</si>
  <si>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</si>
  <si>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</si>
  <si>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</si>
  <si>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</si>
  <si>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</si>
  <si>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</si>
  <si>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</si>
  <si>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</si>
  <si>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</si>
  <si>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</si>
  <si>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</si>
  <si>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</si>
  <si>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</si>
  <si>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</si>
  <si>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</si>
  <si>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</si>
  <si>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</si>
  <si>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</si>
  <si>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</si>
  <si>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</si>
  <si>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</si>
  <si>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</si>
  <si>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</si>
  <si>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</si>
  <si>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</si>
  <si>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</si>
  <si>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</si>
  <si>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</si>
  <si>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</si>
  <si>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</si>
  <si>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</si>
  <si>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</si>
  <si>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</si>
  <si>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</si>
  <si>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</si>
  <si>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</si>
  <si>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</si>
  <si>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</si>
  <si>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</si>
  <si>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</si>
  <si>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</si>
  <si>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</si>
  <si>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</si>
  <si>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</si>
  <si>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</si>
  <si>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</si>
  <si>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</si>
  <si>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</si>
  <si>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</si>
  <si>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</si>
  <si>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</si>
  <si>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</si>
  <si>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</si>
  <si>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</si>
  <si>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</si>
  <si>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</si>
  <si>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</si>
  <si>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</si>
  <si>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</si>
  <si>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</si>
  <si>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</si>
  <si>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</si>
  <si>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</si>
  <si>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</si>
  <si>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</si>
  <si>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</si>
  <si>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</si>
  <si>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</si>
  <si>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</si>
  <si>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</si>
  <si>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</si>
  <si>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</si>
  <si>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</si>
  <si>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</si>
  <si>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</si>
  <si>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</si>
  <si>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</si>
  <si>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</si>
  <si>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</si>
  <si>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</si>
  <si>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</si>
  <si>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</si>
  <si>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</si>
  <si>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</si>
  <si>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</si>
  <si>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</si>
  <si>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</si>
  <si>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</si>
  <si>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</si>
  <si>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</si>
  <si>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</si>
  <si>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</si>
  <si>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</si>
  <si>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</si>
  <si>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</si>
  <si>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</si>
  <si>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</si>
  <si>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</si>
  <si>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</si>
  <si>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</si>
  <si>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</si>
  <si>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</si>
  <si>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</si>
  <si>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</si>
  <si>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</si>
  <si>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</si>
  <si>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</si>
  <si>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</si>
  <si>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</si>
  <si>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</si>
  <si>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</si>
  <si>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</si>
  <si>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</si>
  <si>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</si>
  <si>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</si>
  <si>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</si>
  <si>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</si>
  <si>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</si>
  <si>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</si>
  <si>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</si>
  <si>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</si>
  <si>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</si>
  <si>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</si>
  <si>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</si>
  <si>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</si>
  <si>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</si>
  <si>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</si>
  <si>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</si>
  <si>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</si>
  <si>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</si>
  <si>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</si>
  <si>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</si>
  <si>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</si>
  <si>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</si>
  <si>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</si>
  <si>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</si>
  <si>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</si>
  <si>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</si>
  <si>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</si>
  <si>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</si>
  <si>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</si>
  <si>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</si>
  <si>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</si>
  <si>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</si>
  <si>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</si>
  <si>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</si>
  <si>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</si>
  <si>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</si>
  <si>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</si>
  <si>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</si>
  <si>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</si>
  <si>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</si>
  <si>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</si>
  <si>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</si>
  <si>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</si>
  <si>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</si>
  <si>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</si>
  <si>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</si>
  <si>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</si>
  <si>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</si>
  <si>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</si>
  <si>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</si>
  <si>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</si>
  <si>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</si>
  <si>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</si>
  <si>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</si>
  <si>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</si>
  <si>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</si>
  <si>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</si>
  <si>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</si>
  <si>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</si>
  <si>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</si>
  <si>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</si>
  <si>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</si>
  <si>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</si>
  <si>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</si>
  <si>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</si>
  <si>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</si>
  <si>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</si>
  <si>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</si>
  <si>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</si>
  <si>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</si>
  <si>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</si>
  <si>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</si>
  <si>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</si>
  <si>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</si>
  <si>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</si>
  <si>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</si>
  <si>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</si>
  <si>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</si>
  <si>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</si>
  <si>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</si>
  <si>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</si>
  <si>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</si>
  <si>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</si>
  <si>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</si>
  <si>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</si>
  <si>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</si>
  <si>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</si>
  <si>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</si>
  <si>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</si>
  <si>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</si>
  <si>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</si>
  <si>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</si>
  <si>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</si>
  <si>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</si>
  <si>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</si>
  <si>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</si>
  <si>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</si>
  <si>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</si>
  <si>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</si>
  <si>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</si>
  <si>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</si>
  <si>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</si>
  <si>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</si>
  <si>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</si>
  <si>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</si>
  <si>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</si>
  <si>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</si>
  <si>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</si>
  <si>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</si>
  <si>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</si>
  <si>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</si>
  <si>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</si>
  <si>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</si>
  <si>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</si>
  <si>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</si>
  <si>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</si>
  <si>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</si>
  <si>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</si>
  <si>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</si>
  <si>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</si>
  <si>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</si>
  <si>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</si>
  <si>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</si>
  <si>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</si>
  <si>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</si>
  <si>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</si>
  <si>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</si>
  <si>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</si>
  <si>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</si>
  <si>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</si>
  <si>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</si>
  <si>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</si>
  <si>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</si>
  <si>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</si>
  <si>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</si>
  <si>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</si>
  <si>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</si>
  <si>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</si>
  <si>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</si>
  <si>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</si>
  <si>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</si>
  <si>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</si>
  <si>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</si>
  <si>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</si>
  <si>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</si>
  <si>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</si>
  <si>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</si>
  <si>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</si>
  <si>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</si>
  <si>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</si>
  <si>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</si>
  <si>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</si>
  <si>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</si>
  <si>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</si>
  <si>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</si>
  <si>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</si>
  <si>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</si>
  <si>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</si>
  <si>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</si>
  <si>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</si>
  <si>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</si>
  <si>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</si>
  <si>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</si>
  <si>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</si>
  <si>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</si>
  <si>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</si>
  <si>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</si>
  <si>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</si>
  <si>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</si>
  <si>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</si>
  <si>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</si>
  <si>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</si>
  <si>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</si>
  <si>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</si>
  <si>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</si>
  <si>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</si>
  <si>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</si>
  <si>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</si>
  <si>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</si>
  <si>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</si>
  <si>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</si>
  <si>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</si>
  <si>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</si>
  <si>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</si>
  <si>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</si>
  <si>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</si>
  <si>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</si>
  <si>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</si>
  <si>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</si>
  <si>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</si>
  <si>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</si>
  <si>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</si>
  <si>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</si>
  <si>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</si>
  <si>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</si>
  <si>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</si>
  <si>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</si>
  <si>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</si>
  <si>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</si>
  <si>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</si>
  <si>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</si>
  <si>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</si>
  <si>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</si>
  <si>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</si>
  <si>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</si>
  <si>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</si>
  <si>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</si>
  <si>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</si>
  <si>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</si>
  <si>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</si>
  <si>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</si>
  <si>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</si>
  <si>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</si>
  <si>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</si>
  <si>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</si>
  <si>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</si>
  <si>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</si>
  <si>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</si>
  <si>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</si>
  <si>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</si>
  <si>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</si>
  <si>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</si>
  <si>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</si>
  <si>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</si>
  <si>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</si>
  <si>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</si>
  <si>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</si>
  <si>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</si>
  <si>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</si>
  <si>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</si>
  <si>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</si>
  <si>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</si>
  <si>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</si>
  <si>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</si>
  <si>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</si>
  <si>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</si>
  <si>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</si>
  <si>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</si>
  <si>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</si>
  <si>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</si>
  <si>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</si>
  <si>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</si>
  <si>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</si>
  <si>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</si>
  <si>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</si>
  <si>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</si>
  <si>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</si>
  <si>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</si>
  <si>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</si>
  <si>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</si>
  <si>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</si>
  <si>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</si>
  <si>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</si>
  <si>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</si>
  <si>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</si>
  <si>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</si>
  <si>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</si>
  <si>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</si>
  <si>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</si>
  <si>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</si>
  <si>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</si>
  <si>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</si>
  <si>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</si>
  <si>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</si>
  <si>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</si>
  <si>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</si>
  <si>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</si>
  <si>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</si>
  <si>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</si>
  <si>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</si>
  <si>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</si>
  <si>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</si>
  <si>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</si>
  <si>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</si>
  <si>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</si>
  <si>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</si>
  <si>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</si>
  <si>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</si>
  <si>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</si>
  <si>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</si>
  <si>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</si>
  <si>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</si>
  <si>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</si>
  <si>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</si>
  <si>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</si>
  <si>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</si>
  <si>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</si>
  <si>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</si>
  <si>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</si>
  <si>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</si>
  <si>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</si>
  <si>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</si>
  <si>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</si>
  <si>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</si>
  <si>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</si>
  <si>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</si>
  <si>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</si>
  <si>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</si>
  <si>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</si>
  <si>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</si>
  <si>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</si>
  <si>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</si>
  <si>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</si>
  <si>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</si>
  <si>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</si>
  <si>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</si>
  <si>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</si>
  <si>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</si>
  <si>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</si>
  <si>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</si>
  <si>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</si>
  <si>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</si>
  <si>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</si>
  <si>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</si>
  <si>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</si>
  <si>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</si>
  <si>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</si>
  <si>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</si>
  <si>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</si>
  <si>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</si>
  <si>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</si>
  <si>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</si>
  <si>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</si>
  <si>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</si>
  <si>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</si>
  <si>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</si>
  <si>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</si>
  <si>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</si>
  <si>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</si>
  <si>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</si>
  <si>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</si>
  <si>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</si>
  <si>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</si>
  <si>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</si>
  <si>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</si>
  <si>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</si>
  <si>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</si>
  <si>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</si>
  <si>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</si>
  <si>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</si>
  <si>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</si>
  <si>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</si>
  <si>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</si>
  <si>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</si>
  <si>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</si>
  <si>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</si>
  <si>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</si>
  <si>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</si>
  <si>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</si>
  <si>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</si>
  <si>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</si>
  <si>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</si>
  <si>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</si>
  <si>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</si>
  <si>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</si>
  <si>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</si>
  <si>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</si>
  <si>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</si>
  <si>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</si>
  <si>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</si>
  <si>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</si>
  <si>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</si>
  <si>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</si>
  <si>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</si>
  <si>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</si>
  <si>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</si>
  <si>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</si>
  <si>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</si>
  <si>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</si>
  <si>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</si>
  <si>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</si>
  <si>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</si>
  <si>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</si>
  <si>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</si>
  <si>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</si>
  <si>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</si>
  <si>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</si>
  <si>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</si>
  <si>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</si>
  <si>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</si>
  <si>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</si>
  <si>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</si>
  <si>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</si>
  <si>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</si>
  <si>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</si>
  <si>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</si>
  <si>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</si>
  <si>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</si>
  <si>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</si>
  <si>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</si>
  <si>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</si>
  <si>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</si>
  <si>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</si>
  <si>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</si>
  <si>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</si>
  <si>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</si>
  <si>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</si>
  <si>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</si>
  <si>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</si>
  <si>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</si>
  <si>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</si>
  <si>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</si>
  <si>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</si>
  <si>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</si>
  <si>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</si>
  <si>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</si>
  <si>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</si>
  <si>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</si>
  <si>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</si>
  <si>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</si>
  <si>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</si>
  <si>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</si>
  <si>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</si>
  <si>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</si>
  <si>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</si>
  <si>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</si>
  <si>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</si>
  <si>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</si>
  <si>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</si>
  <si>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</si>
  <si>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</si>
  <si>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</si>
  <si>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</si>
  <si>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</si>
  <si>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</si>
  <si>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</si>
  <si>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</si>
  <si>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</si>
  <si>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</si>
  <si>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</si>
  <si>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</si>
  <si>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</si>
  <si>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</si>
  <si>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</si>
  <si>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</si>
  <si>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</si>
  <si>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</si>
  <si>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</si>
  <si>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</si>
  <si>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</si>
  <si>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</si>
  <si>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</si>
  <si>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</si>
  <si>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</si>
  <si>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</si>
  <si>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</si>
  <si>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</si>
  <si>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</si>
  <si>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</si>
  <si>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</si>
  <si>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</si>
  <si>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</si>
  <si>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</si>
  <si>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</si>
  <si>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</si>
  <si>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</si>
  <si>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</si>
  <si>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</si>
  <si>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</si>
  <si>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</si>
  <si>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</si>
  <si>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</si>
  <si>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</si>
  <si>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</si>
  <si>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</si>
  <si>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</si>
  <si>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</si>
  <si>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</si>
  <si>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</si>
  <si>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</si>
  <si>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</si>
  <si>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</si>
  <si>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</si>
  <si>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</si>
  <si>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</si>
  <si>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</si>
  <si>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</si>
  <si>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</si>
  <si>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</si>
  <si>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</si>
  <si>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</si>
  <si>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</si>
  <si>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</si>
  <si>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</si>
  <si>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</si>
  <si>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</si>
  <si>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</si>
  <si>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</si>
  <si>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</si>
  <si>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</si>
  <si>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</si>
  <si>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</si>
  <si>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</si>
  <si>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</si>
  <si>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</si>
  <si>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</si>
  <si>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</si>
  <si>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</si>
  <si>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</si>
  <si>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</si>
  <si>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</si>
  <si>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</si>
  <si>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</si>
  <si>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</si>
  <si>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</si>
  <si>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</si>
  <si>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</si>
  <si>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</si>
  <si>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</si>
  <si>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</si>
  <si>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</si>
  <si>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</si>
  <si>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</si>
  <si>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</si>
  <si>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</si>
  <si>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</si>
  <si>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</si>
  <si>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</si>
  <si>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</si>
  <si>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</si>
  <si>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</si>
  <si>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</si>
  <si>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</si>
  <si>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</si>
  <si>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</si>
  <si>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</si>
  <si>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</si>
  <si>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</si>
  <si>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</si>
  <si>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</si>
  <si>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</si>
  <si>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</si>
  <si>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</si>
  <si>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</si>
  <si>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</si>
  <si>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</si>
  <si>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</si>
  <si>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</si>
  <si>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</si>
  <si>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</si>
  <si>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</si>
  <si>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</si>
  <si>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</si>
  <si>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</si>
  <si>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</si>
  <si>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</si>
  <si>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</si>
  <si>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</si>
  <si>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</si>
  <si>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</si>
  <si>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</si>
  <si>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</si>
  <si>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</si>
  <si>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</si>
  <si>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</si>
  <si>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</si>
  <si>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</si>
  <si>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</si>
  <si>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</si>
  <si>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</si>
  <si>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</si>
  <si>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</si>
  <si>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</si>
  <si>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</si>
  <si>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</si>
  <si>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</si>
  <si>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</si>
  <si>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</si>
  <si>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</si>
  <si>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</si>
  <si>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</si>
  <si>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</si>
  <si>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</si>
  <si>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</si>
  <si>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</si>
  <si>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</si>
  <si>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</si>
  <si>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</si>
  <si>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</si>
  <si>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</si>
  <si>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</si>
  <si>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</si>
  <si>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</si>
  <si>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</si>
  <si>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</si>
  <si>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</si>
  <si>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</si>
  <si>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</si>
  <si>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</si>
  <si>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</si>
  <si>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</si>
  <si>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</si>
  <si>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</si>
  <si>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</si>
  <si>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</si>
  <si>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</si>
  <si>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</si>
  <si>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</si>
  <si>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</si>
  <si>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</si>
  <si>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</si>
  <si>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</si>
  <si>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</si>
  <si>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</si>
  <si>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</si>
  <si>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</si>
  <si>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</si>
  <si>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</si>
  <si>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</si>
  <si>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</si>
  <si>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</si>
  <si>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</si>
  <si>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</si>
  <si>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</si>
  <si>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</si>
  <si>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</si>
  <si>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</si>
  <si>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</si>
  <si>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</si>
  <si>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</si>
  <si>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</si>
  <si>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</si>
  <si>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</si>
  <si>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</si>
  <si>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</si>
  <si>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</si>
  <si>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</si>
  <si>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</si>
  <si>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</si>
  <si>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</si>
  <si>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</si>
  <si>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</si>
  <si>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</si>
  <si>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</si>
  <si>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</si>
  <si>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</si>
  <si>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</si>
  <si>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</si>
  <si>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</si>
  <si>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</si>
  <si>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</si>
  <si>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</si>
  <si>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</si>
  <si>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</si>
  <si>
    <t>07/14</t>
  </si>
  <si>
    <t>08/34</t>
  </si>
  <si>
    <t>Gen Fund - Adjusting entry as result of PY adjustment</t>
  </si>
  <si>
    <t>FS Fund - Adjusting entry as result of PY adjustment</t>
  </si>
  <si>
    <t>Grant Fund - Adjusting entry as a result of PY adjustment</t>
  </si>
  <si>
    <t>No Impact Fees from Wilton this FY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</si>
</sst>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9" zoomScale="115" zoomScaleNormal="115" workbookViewId="0">
      <selection activeCell="H672" sqref="H672"/>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1457</v>
      </c>
      <c r="B2">
        <f>INDEX('School Tables'!$AH$3:$AH$213,MATCH('DOE25'!A2,'School Tables'!$AJ$3:$AJ$213,0))</f>
        <v>572</v>
      </c>
      <c r="C2">
        <f>INDEX('School Tables'!$AI$3:$AI$213,MATCH('DOE25'!A2,'School Tables'!$AJ$3:$AJ$213,0))</f>
        <v>0</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108902.01</v>
      </c>
      <c r="G9" s="18">
        <v>30039.48</v>
      </c>
      <c r="H9" s="18"/>
      <c r="I9" s="18"/>
      <c r="J9" s="13">
        <f>SUM(I440)</f>
        <v>673005.52</v>
      </c>
      <c r="K9" s="23" t="s">
        <v>288</v>
      </c>
      <c r="L9" s="23" t="s">
        <v>288</v>
      </c>
      <c r="M9" s="8"/>
      <c r="N9" s="164"/>
    </row>
    <row r="10" spans="1:14" s="3" customFormat="1" ht="12.2" customHeight="1" x14ac:dyDescent="0.15">
      <c r="A10" s="1" t="s">
        <v>562</v>
      </c>
      <c r="B10" s="2" t="s">
        <v>289</v>
      </c>
      <c r="C10" s="6">
        <v>2</v>
      </c>
      <c r="D10" s="2" t="s">
        <v>428</v>
      </c>
      <c r="E10" s="6">
        <v>110</v>
      </c>
      <c r="F10" s="18"/>
      <c r="G10" s="18">
        <v>0</v>
      </c>
      <c r="H10" s="18"/>
      <c r="I10" s="18"/>
      <c r="J10" s="13">
        <f>SUM(I441)</f>
        <v>0</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v>343405.63</v>
      </c>
      <c r="G12" s="18"/>
      <c r="H12" s="18">
        <v>184425.15</v>
      </c>
      <c r="I12" s="18"/>
      <c r="J12" s="13">
        <f>SUM(I442)</f>
        <v>0</v>
      </c>
      <c r="K12" s="23" t="s">
        <v>288</v>
      </c>
      <c r="L12" s="23" t="s">
        <v>288</v>
      </c>
      <c r="M12" s="8"/>
      <c r="N12" s="164"/>
    </row>
    <row r="13" spans="1:14" s="3" customFormat="1" ht="12.2" customHeight="1" x14ac:dyDescent="0.15">
      <c r="A13" s="1" t="s">
        <v>604</v>
      </c>
      <c r="B13" s="2" t="s">
        <v>289</v>
      </c>
      <c r="C13" s="6">
        <v>5</v>
      </c>
      <c r="D13" s="2" t="s">
        <v>428</v>
      </c>
      <c r="E13" s="6">
        <v>140</v>
      </c>
      <c r="F13" s="18"/>
      <c r="G13" s="18">
        <v>62998.25</v>
      </c>
      <c r="H13" s="18"/>
      <c r="I13" s="18"/>
      <c r="J13" s="13">
        <f>SUM(I443)</f>
        <v>0</v>
      </c>
      <c r="K13" s="23" t="s">
        <v>288</v>
      </c>
      <c r="L13" s="23" t="s">
        <v>288</v>
      </c>
      <c r="M13" s="8"/>
      <c r="N13" s="164"/>
    </row>
    <row r="14" spans="1:14" s="3" customFormat="1" ht="12.2" customHeight="1" x14ac:dyDescent="0.15">
      <c r="A14" s="1" t="s">
        <v>565</v>
      </c>
      <c r="B14" s="2" t="s">
        <v>289</v>
      </c>
      <c r="C14" s="6">
        <v>6</v>
      </c>
      <c r="D14" s="2" t="s">
        <v>428</v>
      </c>
      <c r="E14" s="6">
        <v>150</v>
      </c>
      <c r="F14" s="18">
        <v>42308.89</v>
      </c>
      <c r="G14" s="18"/>
      <c r="H14" s="18"/>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v>0.05</v>
      </c>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v>11887.46</v>
      </c>
      <c r="G17" s="18"/>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506503.99000000005</v>
      </c>
      <c r="G19" s="38">
        <f>SUM(G9:G18)</f>
        <v>93037.78</v>
      </c>
      <c r="H19" s="38">
        <f>SUM(H9:H18)</f>
        <v>184425.15</v>
      </c>
      <c r="I19" s="38">
        <f>SUM(I9:I18)</f>
        <v>0</v>
      </c>
      <c r="J19" s="38">
        <f>SUM(J9:J18)</f>
        <v>673005.52</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c r="G22" s="18">
        <v>266337.37</v>
      </c>
      <c r="H22" s="18"/>
      <c r="I22" s="18"/>
      <c r="J22" s="13">
        <f>SUM(I449)</f>
        <v>0</v>
      </c>
      <c r="K22" s="23" t="s">
        <v>288</v>
      </c>
      <c r="L22" s="23" t="s">
        <v>288</v>
      </c>
      <c r="M22" s="8"/>
      <c r="N22" s="164"/>
    </row>
    <row r="23" spans="1:14" s="3" customFormat="1" ht="12.2" customHeight="1" x14ac:dyDescent="0.15">
      <c r="A23" s="1" t="s">
        <v>607</v>
      </c>
      <c r="B23" s="2" t="s">
        <v>289</v>
      </c>
      <c r="C23" s="6">
        <v>13</v>
      </c>
      <c r="D23" s="2" t="s">
        <v>429</v>
      </c>
      <c r="E23" s="6">
        <v>410</v>
      </c>
      <c r="F23" s="18"/>
      <c r="G23" s="18">
        <v>0</v>
      </c>
      <c r="H23" s="18">
        <v>135087.51</v>
      </c>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v>-70727.539999999994</v>
      </c>
      <c r="G24" s="18">
        <v>-126.2</v>
      </c>
      <c r="H24" s="18">
        <v>-1500.2</v>
      </c>
      <c r="I24" s="18"/>
      <c r="J24" s="13">
        <f>SUM(I451)</f>
        <v>0</v>
      </c>
      <c r="K24" s="23" t="s">
        <v>288</v>
      </c>
      <c r="L24" s="23" t="s">
        <v>288</v>
      </c>
      <c r="M24" s="8"/>
      <c r="N24" s="164"/>
    </row>
    <row r="25" spans="1:14" s="3" customFormat="1" ht="12.2" customHeight="1" x14ac:dyDescent="0.15">
      <c r="A25" s="1" t="s">
        <v>574</v>
      </c>
      <c r="B25" s="2" t="s">
        <v>289</v>
      </c>
      <c r="C25" s="6">
        <v>15</v>
      </c>
      <c r="D25" s="2" t="s">
        <v>429</v>
      </c>
      <c r="E25" s="6">
        <v>430</v>
      </c>
      <c r="F25" s="18">
        <v>90875.14</v>
      </c>
      <c r="G25" s="102">
        <v>900</v>
      </c>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v>-12317.95</v>
      </c>
      <c r="G28" s="18"/>
      <c r="H28" s="18"/>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v>149147.32</v>
      </c>
      <c r="G29" s="18"/>
      <c r="H29" s="18"/>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c r="G30" s="18">
        <v>9876.2800000000007</v>
      </c>
      <c r="H30" s="18"/>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v>0</v>
      </c>
      <c r="H31" s="18">
        <v>1700</v>
      </c>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156976.97</v>
      </c>
      <c r="G32" s="38">
        <f>SUM(G22:G31)</f>
        <v>276987.45</v>
      </c>
      <c r="H32" s="38">
        <f>SUM(H22:H31)</f>
        <v>135287.31</v>
      </c>
      <c r="I32" s="38">
        <f>SUM(I22:I31)</f>
        <v>0</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673005.52</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c r="H43" s="18">
        <v>49137.84</v>
      </c>
      <c r="I43" s="18"/>
      <c r="J43" s="13">
        <f>SUM(I457)</f>
        <v>0</v>
      </c>
      <c r="K43" s="23" t="s">
        <v>288</v>
      </c>
      <c r="L43" s="23" t="s">
        <v>288</v>
      </c>
      <c r="M43" s="8"/>
      <c r="N43" s="164"/>
    </row>
    <row r="44" spans="1:14" s="3" customFormat="1" ht="12.2" customHeight="1" x14ac:dyDescent="0.15">
      <c r="A44" s="1" t="s">
        <v>833</v>
      </c>
      <c r="B44" s="6">
        <v>1</v>
      </c>
      <c r="C44" s="6">
        <v>30</v>
      </c>
      <c r="D44" s="2" t="s">
        <v>653</v>
      </c>
      <c r="E44" s="6">
        <v>755</v>
      </c>
      <c r="F44" s="18">
        <v>100000</v>
      </c>
      <c r="G44" s="18">
        <v>-183949.67</v>
      </c>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v>17970.97</v>
      </c>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c r="G48" s="18"/>
      <c r="H48" s="18"/>
      <c r="I48" s="18"/>
      <c r="J48" s="13">
        <f>SUM(I460)</f>
        <v>0</v>
      </c>
      <c r="K48" s="23" t="s">
        <v>288</v>
      </c>
      <c r="L48" s="23" t="s">
        <v>288</v>
      </c>
      <c r="M48" s="8"/>
      <c r="N48" s="164"/>
    </row>
    <row r="49" spans="1:14" s="3" customFormat="1" ht="12.2" customHeight="1" x14ac:dyDescent="0.15">
      <c r="A49" s="1" t="s">
        <v>855</v>
      </c>
      <c r="B49" s="2" t="s">
        <v>289</v>
      </c>
      <c r="C49" s="6">
        <v>34</v>
      </c>
      <c r="D49" s="2"/>
      <c r="E49" s="6">
        <v>753</v>
      </c>
      <c r="F49" s="18"/>
      <c r="G49" s="18"/>
      <c r="H49" s="18"/>
      <c r="I49" s="18"/>
      <c r="J49" s="13">
        <f>I455</f>
        <v>0</v>
      </c>
      <c r="K49" s="23"/>
      <c r="L49" s="23"/>
      <c r="M49" s="8"/>
      <c r="N49" s="164"/>
    </row>
    <row r="50" spans="1:14" s="3" customFormat="1" ht="12.2" customHeight="1" thickBot="1" x14ac:dyDescent="0.2">
      <c r="A50" s="28" t="s">
        <v>836</v>
      </c>
      <c r="B50" s="2" t="s">
        <v>289</v>
      </c>
      <c r="C50" s="56">
        <v>35</v>
      </c>
      <c r="D50" s="2" t="s">
        <v>653</v>
      </c>
      <c r="E50" s="6">
        <v>770</v>
      </c>
      <c r="F50" s="18">
        <v>231556.05</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349527.02</v>
      </c>
      <c r="G51" s="38">
        <f>SUM(G35:G50)</f>
        <v>-183949.67</v>
      </c>
      <c r="H51" s="38">
        <f>SUM(H35:H50)</f>
        <v>49137.84</v>
      </c>
      <c r="I51" s="38">
        <f>SUM(I35:I50)</f>
        <v>0</v>
      </c>
      <c r="J51" s="38">
        <f>SUM(J35:J50)</f>
        <v>673005.52</v>
      </c>
      <c r="K51" s="42" t="s">
        <v>288</v>
      </c>
      <c r="L51" s="42" t="s">
        <v>288</v>
      </c>
      <c r="N51" s="130"/>
    </row>
    <row r="52" spans="1:14" s="3" customFormat="1" ht="12.2" customHeight="1" thickTop="1" x14ac:dyDescent="0.15">
      <c r="A52" s="35" t="s">
        <v>455</v>
      </c>
      <c r="B52" s="36" t="s">
        <v>289</v>
      </c>
      <c r="C52" s="6">
        <v>37</v>
      </c>
      <c r="D52" s="36" t="s">
        <v>653</v>
      </c>
      <c r="E52" s="36"/>
      <c r="F52" s="38">
        <f>F51+F32</f>
        <v>506503.99</v>
      </c>
      <c r="G52" s="38">
        <f>G51+G32</f>
        <v>93037.78</v>
      </c>
      <c r="H52" s="38">
        <f>H51+H32</f>
        <v>184425.15</v>
      </c>
      <c r="I52" s="38">
        <f>I51+I32</f>
        <v>0</v>
      </c>
      <c r="J52" s="38">
        <f>J51+J32</f>
        <v>673005.52</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9636239.0099999998</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v>0</v>
      </c>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v>0</v>
      </c>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9636239.0099999998</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v>7500</v>
      </c>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v>0</v>
      </c>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v>0</v>
      </c>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v>0</v>
      </c>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v>0</v>
      </c>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v>0</v>
      </c>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v>0</v>
      </c>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v>0</v>
      </c>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v>0</v>
      </c>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v>0</v>
      </c>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v>0</v>
      </c>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v>0</v>
      </c>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v>0</v>
      </c>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7500</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v>0</v>
      </c>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v>0</v>
      </c>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v>0</v>
      </c>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v>0</v>
      </c>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v>0</v>
      </c>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v>0</v>
      </c>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v>0</v>
      </c>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v>0</v>
      </c>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v>0</v>
      </c>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3582.32</v>
      </c>
      <c r="G96" s="18">
        <v>0</v>
      </c>
      <c r="H96" s="18"/>
      <c r="I96" s="18"/>
      <c r="J96" s="18">
        <v>30342.23</v>
      </c>
      <c r="K96" s="23" t="s">
        <v>288</v>
      </c>
      <c r="L96" s="23" t="s">
        <v>288</v>
      </c>
      <c r="M96" s="8"/>
      <c r="N96" s="164"/>
    </row>
    <row r="97" spans="1:14" s="3" customFormat="1" ht="12.2" customHeight="1" x14ac:dyDescent="0.15">
      <c r="A97" s="1" t="s">
        <v>503</v>
      </c>
      <c r="B97" s="2" t="s">
        <v>315</v>
      </c>
      <c r="C97" s="6">
        <v>12</v>
      </c>
      <c r="D97" s="2" t="s">
        <v>430</v>
      </c>
      <c r="E97" s="6">
        <v>1600</v>
      </c>
      <c r="F97" s="23" t="s">
        <v>288</v>
      </c>
      <c r="G97" s="18">
        <v>103099.76</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v>0</v>
      </c>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v>0</v>
      </c>
      <c r="G99" s="18">
        <v>0</v>
      </c>
      <c r="H99" s="18">
        <v>669</v>
      </c>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v>300</v>
      </c>
      <c r="G101" s="18">
        <v>0</v>
      </c>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v>650</v>
      </c>
      <c r="G102" s="18">
        <v>0</v>
      </c>
      <c r="H102" s="18"/>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v>0</v>
      </c>
      <c r="G103" s="18">
        <v>0</v>
      </c>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v>0</v>
      </c>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v>0</v>
      </c>
      <c r="G105" s="18">
        <v>0</v>
      </c>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v>0</v>
      </c>
      <c r="G106" s="18">
        <v>0</v>
      </c>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v>0</v>
      </c>
      <c r="G107" s="18">
        <v>0</v>
      </c>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v>0</v>
      </c>
      <c r="G108" s="18">
        <v>0</v>
      </c>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v>24852.59</v>
      </c>
      <c r="G109" s="18">
        <v>36.130000000000003</v>
      </c>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v>6016.47</v>
      </c>
      <c r="G110" s="18">
        <v>0</v>
      </c>
      <c r="H110" s="18"/>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35401.379999999997</v>
      </c>
      <c r="G111" s="38">
        <f>SUM(G96:G110)</f>
        <v>103135.89</v>
      </c>
      <c r="H111" s="38">
        <f>SUM(H96:H110)</f>
        <v>669</v>
      </c>
      <c r="I111" s="38">
        <f>SUM(I96:I110)</f>
        <v>0</v>
      </c>
      <c r="J111" s="38">
        <f>SUM(J96:J110)</f>
        <v>30342.23</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9679140.3900000006</v>
      </c>
      <c r="G112" s="38">
        <f>G60+G111</f>
        <v>103135.89</v>
      </c>
      <c r="H112" s="38">
        <f>H60+H79+H94+H111</f>
        <v>669</v>
      </c>
      <c r="I112" s="38">
        <f>I60+I111</f>
        <v>0</v>
      </c>
      <c r="J112" s="38">
        <f>J60+J111</f>
        <v>30342.23</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1983062.75</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1189725</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v>9081.68</v>
      </c>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3181869.43</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v>0</v>
      </c>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v>0</v>
      </c>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v>0</v>
      </c>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v>27551.1</v>
      </c>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v>0</v>
      </c>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v>2797.5</v>
      </c>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v>0</v>
      </c>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v>0</v>
      </c>
      <c r="G130" s="23" t="s">
        <v>288</v>
      </c>
      <c r="H130" s="18"/>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v>0</v>
      </c>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4030.6</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v>0</v>
      </c>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30348.6</v>
      </c>
      <c r="G136" s="38">
        <f>SUM(G123:G135)</f>
        <v>4030.6</v>
      </c>
      <c r="H136" s="38">
        <f>SUM(H123:H135)</f>
        <v>0</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v>0</v>
      </c>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v>0</v>
      </c>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3212218.0300000003</v>
      </c>
      <c r="G140" s="38">
        <f>G121+SUM(G136:G137)</f>
        <v>4030.6</v>
      </c>
      <c r="H140" s="38">
        <f>H121+SUM(H136:H139)</f>
        <v>0</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v>0</v>
      </c>
      <c r="G145" s="18"/>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v>0</v>
      </c>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v>0</v>
      </c>
      <c r="G150" s="23" t="s">
        <v>288</v>
      </c>
      <c r="H150" s="18"/>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v>0</v>
      </c>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v>0</v>
      </c>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v>128716.07</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v>33622.67</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v>0</v>
      </c>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v>0</v>
      </c>
      <c r="G157" s="23" t="s">
        <v>288</v>
      </c>
      <c r="H157" s="18">
        <v>16038.79</v>
      </c>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v>56896.45</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v>198166.48</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v>27972.77</v>
      </c>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v>0</v>
      </c>
      <c r="G161" s="18">
        <v>0</v>
      </c>
      <c r="H161" s="18">
        <v>109121.05</v>
      </c>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v>122300.57</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27972.77</v>
      </c>
      <c r="G163" s="38">
        <f>SUM(G150:G162)</f>
        <v>56896.45</v>
      </c>
      <c r="H163" s="38">
        <f>SUM(H150:H162)</f>
        <v>607965.63</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v>0</v>
      </c>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v>0</v>
      </c>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v>0</v>
      </c>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27972.77</v>
      </c>
      <c r="G170" s="38">
        <f>G147+G163+SUM(G164:G169)</f>
        <v>56896.45</v>
      </c>
      <c r="H170" s="38">
        <f>H147+H163+SUM(H164:H169)</f>
        <v>607965.63</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v>0</v>
      </c>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v>0</v>
      </c>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v>0</v>
      </c>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v>0</v>
      </c>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v>15615.28</v>
      </c>
      <c r="H180" s="18"/>
      <c r="I180" s="18"/>
      <c r="J180" s="18">
        <v>190000</v>
      </c>
      <c r="K180" s="23" t="s">
        <v>288</v>
      </c>
      <c r="L180" s="23" t="s">
        <v>288</v>
      </c>
      <c r="M180" s="8"/>
      <c r="N180" s="164"/>
    </row>
    <row r="181" spans="1:14" s="3" customFormat="1" ht="12.2" customHeight="1" x14ac:dyDescent="0.15">
      <c r="A181" s="1" t="s">
        <v>525</v>
      </c>
      <c r="B181" s="2" t="s">
        <v>330</v>
      </c>
      <c r="C181" s="6">
        <v>7</v>
      </c>
      <c r="D181" s="2" t="s">
        <v>430</v>
      </c>
      <c r="E181" s="6">
        <v>5221</v>
      </c>
      <c r="F181" s="18">
        <v>0</v>
      </c>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v>0</v>
      </c>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v>0</v>
      </c>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15615.28</v>
      </c>
      <c r="H184" s="38">
        <f>SUM(H180:H183)</f>
        <v>0</v>
      </c>
      <c r="I184" s="38">
        <f>SUM(I180:I183)</f>
        <v>0</v>
      </c>
      <c r="J184" s="38">
        <f>SUM(J180:J183)</f>
        <v>190000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v>0</v>
      </c>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v>0</v>
      </c>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v>0</v>
      </c>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v>0</v>
      </c>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v>0</v>
      </c>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v>0</v>
      </c>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0</v>
      </c>
      <c r="G193" s="38">
        <f>G184+SUM(G189:G192)</f>
        <v>15615.28</v>
      </c>
      <c r="H193" s="38">
        <f>+H184+SUM(H189:H192)</f>
        <v>0</v>
      </c>
      <c r="I193" s="38">
        <f>I178+I184+SUM(I189:I192)</f>
        <v>0</v>
      </c>
      <c r="J193" s="38">
        <f>J184</f>
        <v>190000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12919331.190000001</v>
      </c>
      <c r="G194" s="38">
        <f>G112+G140+G170+G193</f>
        <v>179678.22</v>
      </c>
      <c r="H194" s="38">
        <f>H112+H140+H170+H193</f>
        <v>608634.63</v>
      </c>
      <c r="I194" s="38">
        <f>I112+I140+I170+I193</f>
        <v>0</v>
      </c>
      <c r="J194" s="38">
        <f>J112+J140+J193</f>
        <v>220342.23</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v>1301770.33</v>
      </c>
      <c r="G198" s="18">
        <v>632047.67000000004</v>
      </c>
      <c r="H198" s="18">
        <v>284</v>
      </c>
      <c r="I198" s="18">
        <v>58083.75</v>
      </c>
      <c r="J198" s="18">
        <v>26408.73</v>
      </c>
      <c r="K198" s="18">
        <v>409.5</v>
      </c>
      <c r="L198" s="13">
        <f>SUM(F198:K198)</f>
        <v>2019003.98</v>
      </c>
      <c r="M198" s="8"/>
      <c r="N198" s="164"/>
    </row>
    <row r="199" spans="1:14" s="3" customFormat="1" ht="12.2" customHeight="1" x14ac:dyDescent="0.15">
      <c r="A199" s="1" t="s">
        <v>439</v>
      </c>
      <c r="B199" s="2" t="s">
        <v>341</v>
      </c>
      <c r="C199" s="2" t="s">
        <v>291</v>
      </c>
      <c r="D199" s="2" t="s">
        <v>431</v>
      </c>
      <c r="E199" s="6">
        <v>1200</v>
      </c>
      <c r="F199" s="18">
        <v>302934.42</v>
      </c>
      <c r="G199" s="18">
        <v>125041.08</v>
      </c>
      <c r="H199" s="18">
        <v>176274.81</v>
      </c>
      <c r="I199" s="18">
        <v>11041.74</v>
      </c>
      <c r="J199" s="18">
        <v>3439.46</v>
      </c>
      <c r="K199" s="18">
        <v>1192.31</v>
      </c>
      <c r="L199" s="13">
        <f>SUM(F199:K199)</f>
        <v>619923.82000000007</v>
      </c>
      <c r="M199" s="8"/>
      <c r="N199" s="164"/>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3">
        <f>SUM(F200:K200)</f>
        <v>0</v>
      </c>
      <c r="M200" s="8"/>
      <c r="N200" s="164"/>
    </row>
    <row r="201" spans="1:14" s="3" customFormat="1" ht="12.2" customHeight="1" x14ac:dyDescent="0.15">
      <c r="A201" s="1" t="s">
        <v>441</v>
      </c>
      <c r="B201" s="2" t="s">
        <v>341</v>
      </c>
      <c r="C201" s="2" t="s">
        <v>293</v>
      </c>
      <c r="D201" s="2" t="s">
        <v>431</v>
      </c>
      <c r="E201" s="6">
        <v>1400</v>
      </c>
      <c r="F201" s="18">
        <v>6957.5</v>
      </c>
      <c r="G201" s="18">
        <v>1755.87</v>
      </c>
      <c r="H201" s="18">
        <v>0</v>
      </c>
      <c r="I201" s="18">
        <v>0</v>
      </c>
      <c r="J201" s="18">
        <v>0</v>
      </c>
      <c r="K201" s="18">
        <v>0</v>
      </c>
      <c r="L201" s="13">
        <f>SUM(F201:K201)</f>
        <v>8713.369999999999</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v>774837.99</v>
      </c>
      <c r="G203" s="18">
        <v>391312.35</v>
      </c>
      <c r="H203" s="18">
        <v>365457.3</v>
      </c>
      <c r="I203" s="18">
        <v>8027.41</v>
      </c>
      <c r="J203" s="18">
        <v>1331.21</v>
      </c>
      <c r="K203" s="18">
        <v>45</v>
      </c>
      <c r="L203" s="13">
        <f t="shared" ref="L203:L209" si="0">SUM(F203:K203)</f>
        <v>1541011.2599999998</v>
      </c>
      <c r="M203" s="8"/>
      <c r="N203" s="164"/>
    </row>
    <row r="204" spans="1:14" s="3" customFormat="1" ht="12.2" customHeight="1" x14ac:dyDescent="0.15">
      <c r="A204" s="1" t="s">
        <v>443</v>
      </c>
      <c r="B204" s="2" t="s">
        <v>341</v>
      </c>
      <c r="C204" s="2" t="s">
        <v>295</v>
      </c>
      <c r="D204" s="2" t="s">
        <v>431</v>
      </c>
      <c r="E204" s="6">
        <v>2200</v>
      </c>
      <c r="F204" s="18">
        <v>84511.08</v>
      </c>
      <c r="G204" s="18">
        <v>62929.61</v>
      </c>
      <c r="H204" s="18">
        <v>0</v>
      </c>
      <c r="I204" s="18">
        <v>2773.03</v>
      </c>
      <c r="J204" s="18">
        <v>0</v>
      </c>
      <c r="K204" s="18">
        <v>127.34</v>
      </c>
      <c r="L204" s="13">
        <f t="shared" si="0"/>
        <v>150341.06</v>
      </c>
      <c r="M204" s="8"/>
      <c r="N204" s="164"/>
    </row>
    <row r="205" spans="1:14" s="3" customFormat="1" ht="12.2" customHeight="1" x14ac:dyDescent="0.15">
      <c r="A205" s="1" t="s">
        <v>444</v>
      </c>
      <c r="B205" s="2" t="s">
        <v>341</v>
      </c>
      <c r="C205" s="2" t="s">
        <v>296</v>
      </c>
      <c r="D205" s="2" t="s">
        <v>431</v>
      </c>
      <c r="E205" s="6">
        <v>2300</v>
      </c>
      <c r="F205" s="18">
        <v>177650.36</v>
      </c>
      <c r="G205" s="18">
        <v>58695.81</v>
      </c>
      <c r="H205" s="18">
        <v>18100.88</v>
      </c>
      <c r="I205" s="18">
        <v>5098.97</v>
      </c>
      <c r="J205" s="18">
        <v>0</v>
      </c>
      <c r="K205" s="18">
        <v>3723.24</v>
      </c>
      <c r="L205" s="13">
        <f t="shared" si="0"/>
        <v>263269.26</v>
      </c>
      <c r="M205" s="8"/>
      <c r="N205" s="164"/>
    </row>
    <row r="206" spans="1:14" s="3" customFormat="1" ht="12.2" customHeight="1" x14ac:dyDescent="0.15">
      <c r="A206" s="1" t="s">
        <v>445</v>
      </c>
      <c r="B206" s="2" t="s">
        <v>341</v>
      </c>
      <c r="C206" s="2" t="s">
        <v>297</v>
      </c>
      <c r="D206" s="2" t="s">
        <v>431</v>
      </c>
      <c r="E206" s="6">
        <v>2400</v>
      </c>
      <c r="F206" s="18">
        <v>253762.66</v>
      </c>
      <c r="G206" s="18">
        <v>119516.37</v>
      </c>
      <c r="H206" s="18">
        <v>731.24</v>
      </c>
      <c r="I206" s="18">
        <v>17757.47</v>
      </c>
      <c r="J206" s="18">
        <v>0</v>
      </c>
      <c r="K206" s="18">
        <v>4662.04</v>
      </c>
      <c r="L206" s="13">
        <f t="shared" si="0"/>
        <v>396429.77999999997</v>
      </c>
      <c r="M206" s="8"/>
      <c r="N206" s="164"/>
    </row>
    <row r="207" spans="1:14" s="3" customFormat="1" ht="12.2" customHeight="1" x14ac:dyDescent="0.15">
      <c r="A207" s="1" t="s">
        <v>446</v>
      </c>
      <c r="B207" s="2" t="s">
        <v>341</v>
      </c>
      <c r="C207" s="2" t="s">
        <v>298</v>
      </c>
      <c r="D207" s="2" t="s">
        <v>431</v>
      </c>
      <c r="E207" s="6">
        <v>2500</v>
      </c>
      <c r="F207" s="18">
        <v>88484.76</v>
      </c>
      <c r="G207" s="18">
        <v>44215</v>
      </c>
      <c r="H207" s="18">
        <v>1437.25</v>
      </c>
      <c r="I207" s="18">
        <v>13228.72</v>
      </c>
      <c r="J207" s="18">
        <v>0</v>
      </c>
      <c r="K207" s="18">
        <v>286.95</v>
      </c>
      <c r="L207" s="13">
        <f t="shared" si="0"/>
        <v>147652.68000000002</v>
      </c>
      <c r="M207" s="8"/>
      <c r="N207" s="164"/>
    </row>
    <row r="208" spans="1:14" s="3" customFormat="1" ht="12.2" customHeight="1" x14ac:dyDescent="0.15">
      <c r="A208" s="1" t="s">
        <v>447</v>
      </c>
      <c r="B208" s="2" t="s">
        <v>341</v>
      </c>
      <c r="C208" s="2" t="s">
        <v>299</v>
      </c>
      <c r="D208" s="2" t="s">
        <v>431</v>
      </c>
      <c r="E208" s="6">
        <v>2600</v>
      </c>
      <c r="F208" s="18">
        <v>201441.7</v>
      </c>
      <c r="G208" s="18">
        <v>68727.740000000005</v>
      </c>
      <c r="H208" s="18">
        <v>161883.29999999999</v>
      </c>
      <c r="I208" s="18">
        <v>179517.24</v>
      </c>
      <c r="J208" s="18">
        <v>24704.18</v>
      </c>
      <c r="K208" s="18">
        <v>0</v>
      </c>
      <c r="L208" s="13">
        <f t="shared" si="0"/>
        <v>636274.16</v>
      </c>
      <c r="M208" s="8"/>
      <c r="N208" s="164"/>
    </row>
    <row r="209" spans="1:14" s="3" customFormat="1" ht="12.2" customHeight="1" x14ac:dyDescent="0.15">
      <c r="A209" s="1" t="s">
        <v>448</v>
      </c>
      <c r="B209" s="2" t="s">
        <v>341</v>
      </c>
      <c r="C209" s="2" t="s">
        <v>300</v>
      </c>
      <c r="D209" s="2" t="s">
        <v>431</v>
      </c>
      <c r="E209" s="6">
        <v>2700</v>
      </c>
      <c r="F209" s="18">
        <v>3183.29</v>
      </c>
      <c r="G209" s="18">
        <v>289.49</v>
      </c>
      <c r="H209" s="18">
        <v>381190.88</v>
      </c>
      <c r="I209" s="18">
        <v>0</v>
      </c>
      <c r="J209" s="18">
        <v>0</v>
      </c>
      <c r="K209" s="18">
        <v>0</v>
      </c>
      <c r="L209" s="13">
        <f t="shared" si="0"/>
        <v>384663.66000000003</v>
      </c>
      <c r="M209" s="8"/>
      <c r="N209" s="164"/>
    </row>
    <row r="210" spans="1:14" s="3" customFormat="1" ht="12.2" customHeight="1" x14ac:dyDescent="0.15">
      <c r="A210" s="1" t="s">
        <v>449</v>
      </c>
      <c r="B210" s="2" t="s">
        <v>341</v>
      </c>
      <c r="C210" s="2" t="s">
        <v>343</v>
      </c>
      <c r="D210" s="2" t="s">
        <v>431</v>
      </c>
      <c r="E210" s="6">
        <v>2800</v>
      </c>
      <c r="F210" s="18">
        <v>101674.35</v>
      </c>
      <c r="G210" s="18">
        <v>59304.36</v>
      </c>
      <c r="H210" s="18">
        <v>49547.89</v>
      </c>
      <c r="I210" s="18">
        <v>8239.7900000000009</v>
      </c>
      <c r="J210" s="18">
        <v>2627.24</v>
      </c>
      <c r="K210" s="18">
        <v>585.80999999999995</v>
      </c>
      <c r="L210" s="13">
        <f>SUM(F210:K210)</f>
        <v>221979.44000000003</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3297208.4400000004</v>
      </c>
      <c r="G212" s="38">
        <f t="shared" si="1"/>
        <v>1563835.3500000003</v>
      </c>
      <c r="H212" s="38">
        <f t="shared" si="1"/>
        <v>1154907.55</v>
      </c>
      <c r="I212" s="38">
        <f t="shared" si="1"/>
        <v>303768.12</v>
      </c>
      <c r="J212" s="38">
        <f t="shared" si="1"/>
        <v>58510.82</v>
      </c>
      <c r="K212" s="38">
        <f t="shared" si="1"/>
        <v>11032.19</v>
      </c>
      <c r="L212" s="38">
        <f t="shared" si="1"/>
        <v>6389262.4699999997</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v>506032.24</v>
      </c>
      <c r="G216" s="18">
        <v>212866.08</v>
      </c>
      <c r="H216" s="18">
        <v>454.14</v>
      </c>
      <c r="I216" s="18">
        <v>24426.9</v>
      </c>
      <c r="J216" s="18">
        <v>12666.44</v>
      </c>
      <c r="K216" s="18">
        <v>0</v>
      </c>
      <c r="L216" s="13">
        <f>SUM(F216:K216)</f>
        <v>756445.79999999993</v>
      </c>
      <c r="M216" s="8"/>
      <c r="N216" s="164"/>
    </row>
    <row r="217" spans="1:14" s="3" customFormat="1" ht="12.2" customHeight="1" x14ac:dyDescent="0.15">
      <c r="A217" s="1" t="s">
        <v>439</v>
      </c>
      <c r="B217" s="2" t="s">
        <v>346</v>
      </c>
      <c r="C217" s="2" t="s">
        <v>291</v>
      </c>
      <c r="D217" s="2" t="s">
        <v>431</v>
      </c>
      <c r="E217" s="6">
        <v>1200</v>
      </c>
      <c r="F217" s="18">
        <v>212525.95</v>
      </c>
      <c r="G217" s="18">
        <v>72847.11</v>
      </c>
      <c r="H217" s="18">
        <v>0</v>
      </c>
      <c r="I217" s="18">
        <v>6321.06</v>
      </c>
      <c r="J217" s="18">
        <v>499.65</v>
      </c>
      <c r="K217" s="18">
        <v>486.05</v>
      </c>
      <c r="L217" s="13">
        <f>SUM(F217:K217)</f>
        <v>292679.82</v>
      </c>
      <c r="M217" s="8"/>
      <c r="N217" s="164"/>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3">
        <f>SUM(F218:K218)</f>
        <v>0</v>
      </c>
      <c r="M218" s="8"/>
      <c r="N218" s="164"/>
    </row>
    <row r="219" spans="1:14" s="3" customFormat="1" ht="12.2" customHeight="1" x14ac:dyDescent="0.15">
      <c r="A219" s="1" t="s">
        <v>441</v>
      </c>
      <c r="B219" s="2" t="s">
        <v>346</v>
      </c>
      <c r="C219" s="2" t="s">
        <v>293</v>
      </c>
      <c r="D219" s="2" t="s">
        <v>431</v>
      </c>
      <c r="E219" s="6">
        <v>1400</v>
      </c>
      <c r="F219" s="18">
        <v>29305.3</v>
      </c>
      <c r="G219" s="18">
        <v>6294.84</v>
      </c>
      <c r="H219" s="18">
        <v>52119.69</v>
      </c>
      <c r="I219" s="18">
        <v>15425.81</v>
      </c>
      <c r="J219" s="18">
        <v>14961.55</v>
      </c>
      <c r="K219" s="18">
        <v>23868.14</v>
      </c>
      <c r="L219" s="13">
        <f>SUM(F219:K219)</f>
        <v>141975.33000000002</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v>211988.43</v>
      </c>
      <c r="G221" s="18">
        <v>103471.41</v>
      </c>
      <c r="H221" s="18">
        <v>85880.5</v>
      </c>
      <c r="I221" s="18">
        <v>2342.6799999999998</v>
      </c>
      <c r="J221" s="18">
        <v>1296.4000000000001</v>
      </c>
      <c r="K221" s="18">
        <v>58.05</v>
      </c>
      <c r="L221" s="13">
        <f>SUM(F221:K221)</f>
        <v>405037.47</v>
      </c>
      <c r="M221" s="8"/>
      <c r="N221" s="164"/>
    </row>
    <row r="222" spans="1:14" s="3" customFormat="1" ht="12.2" customHeight="1" x14ac:dyDescent="0.15">
      <c r="A222" s="1" t="s">
        <v>443</v>
      </c>
      <c r="B222" s="2" t="s">
        <v>346</v>
      </c>
      <c r="C222" s="2" t="s">
        <v>295</v>
      </c>
      <c r="D222" s="2" t="s">
        <v>431</v>
      </c>
      <c r="E222" s="6">
        <v>2200</v>
      </c>
      <c r="F222" s="18">
        <v>36313.870000000003</v>
      </c>
      <c r="G222" s="18">
        <v>22229.74</v>
      </c>
      <c r="H222" s="18">
        <v>2043.97</v>
      </c>
      <c r="I222" s="18">
        <v>4644.1000000000004</v>
      </c>
      <c r="J222" s="18">
        <v>0</v>
      </c>
      <c r="K222" s="18">
        <v>63.17</v>
      </c>
      <c r="L222" s="13">
        <f t="shared" ref="L222:L227" si="2">SUM(F222:K222)</f>
        <v>65294.85</v>
      </c>
      <c r="M222" s="8"/>
      <c r="N222" s="164"/>
    </row>
    <row r="223" spans="1:14" s="3" customFormat="1" ht="12.2" customHeight="1" x14ac:dyDescent="0.15">
      <c r="A223" s="1" t="s">
        <v>444</v>
      </c>
      <c r="B223" s="2" t="s">
        <v>346</v>
      </c>
      <c r="C223" s="2" t="s">
        <v>296</v>
      </c>
      <c r="D223" s="2" t="s">
        <v>431</v>
      </c>
      <c r="E223" s="6">
        <v>2300</v>
      </c>
      <c r="F223" s="18">
        <v>72420.53</v>
      </c>
      <c r="G223" s="18">
        <v>23927.79</v>
      </c>
      <c r="H223" s="18">
        <v>7378.96</v>
      </c>
      <c r="I223" s="18">
        <v>2078.63</v>
      </c>
      <c r="J223" s="18">
        <v>0</v>
      </c>
      <c r="K223" s="18">
        <v>1517.81</v>
      </c>
      <c r="L223" s="13">
        <f t="shared" si="2"/>
        <v>107323.72000000002</v>
      </c>
      <c r="M223" s="8"/>
      <c r="N223" s="164"/>
    </row>
    <row r="224" spans="1:14" s="3" customFormat="1" ht="12.2" customHeight="1" x14ac:dyDescent="0.15">
      <c r="A224" s="1" t="s">
        <v>445</v>
      </c>
      <c r="B224" s="2" t="s">
        <v>346</v>
      </c>
      <c r="C224" s="2" t="s">
        <v>297</v>
      </c>
      <c r="D224" s="2" t="s">
        <v>431</v>
      </c>
      <c r="E224" s="6">
        <v>2400</v>
      </c>
      <c r="F224" s="18">
        <v>124618.65</v>
      </c>
      <c r="G224" s="18">
        <v>54861.29</v>
      </c>
      <c r="H224" s="18">
        <v>3124.66</v>
      </c>
      <c r="I224" s="18">
        <v>7064.6</v>
      </c>
      <c r="J224" s="18">
        <v>0</v>
      </c>
      <c r="K224" s="18">
        <v>4639.0600000000004</v>
      </c>
      <c r="L224" s="13">
        <f t="shared" si="2"/>
        <v>194308.26</v>
      </c>
      <c r="M224" s="8"/>
      <c r="N224" s="164"/>
    </row>
    <row r="225" spans="1:14" s="3" customFormat="1" ht="12.2" customHeight="1" x14ac:dyDescent="0.15">
      <c r="A225" s="1" t="s">
        <v>446</v>
      </c>
      <c r="B225" s="2" t="s">
        <v>346</v>
      </c>
      <c r="C225" s="2" t="s">
        <v>298</v>
      </c>
      <c r="D225" s="2" t="s">
        <v>431</v>
      </c>
      <c r="E225" s="6">
        <v>2500</v>
      </c>
      <c r="F225" s="18">
        <v>36071.49</v>
      </c>
      <c r="G225" s="18">
        <v>18024.59</v>
      </c>
      <c r="H225" s="18">
        <v>585.91</v>
      </c>
      <c r="I225" s="18">
        <v>5392.79</v>
      </c>
      <c r="J225" s="18">
        <v>0</v>
      </c>
      <c r="K225" s="18">
        <v>116.98</v>
      </c>
      <c r="L225" s="13">
        <f t="shared" si="2"/>
        <v>60191.760000000009</v>
      </c>
      <c r="M225" s="8"/>
      <c r="N225" s="164"/>
    </row>
    <row r="226" spans="1:14" s="3" customFormat="1" ht="12.2" customHeight="1" x14ac:dyDescent="0.15">
      <c r="A226" s="1" t="s">
        <v>447</v>
      </c>
      <c r="B226" s="2" t="s">
        <v>346</v>
      </c>
      <c r="C226" s="2" t="s">
        <v>299</v>
      </c>
      <c r="D226" s="2" t="s">
        <v>431</v>
      </c>
      <c r="E226" s="6">
        <v>2600</v>
      </c>
      <c r="F226" s="18">
        <v>76001.820000000007</v>
      </c>
      <c r="G226" s="18">
        <v>53610.17</v>
      </c>
      <c r="H226" s="18">
        <v>106149.3</v>
      </c>
      <c r="I226" s="18">
        <v>80985.91</v>
      </c>
      <c r="J226" s="18">
        <v>3490.33</v>
      </c>
      <c r="K226" s="18">
        <v>0</v>
      </c>
      <c r="L226" s="13">
        <f t="shared" si="2"/>
        <v>320237.53000000003</v>
      </c>
      <c r="M226" s="8"/>
      <c r="N226" s="164"/>
    </row>
    <row r="227" spans="1:14" s="3" customFormat="1" ht="12.2" customHeight="1" x14ac:dyDescent="0.15">
      <c r="A227" s="1" t="s">
        <v>448</v>
      </c>
      <c r="B227" s="2" t="s">
        <v>346</v>
      </c>
      <c r="C227" s="2" t="s">
        <v>300</v>
      </c>
      <c r="D227" s="2" t="s">
        <v>431</v>
      </c>
      <c r="E227" s="6">
        <v>2700</v>
      </c>
      <c r="F227" s="18">
        <v>1385.44</v>
      </c>
      <c r="G227" s="18">
        <v>129.79</v>
      </c>
      <c r="H227" s="18">
        <v>140537.63</v>
      </c>
      <c r="I227" s="18">
        <v>0</v>
      </c>
      <c r="J227" s="18">
        <v>0</v>
      </c>
      <c r="K227" s="18">
        <v>0</v>
      </c>
      <c r="L227" s="13">
        <f t="shared" si="2"/>
        <v>142052.86000000002</v>
      </c>
      <c r="M227" s="8"/>
      <c r="N227" s="164"/>
    </row>
    <row r="228" spans="1:14" s="3" customFormat="1" ht="12.2" customHeight="1" x14ac:dyDescent="0.15">
      <c r="A228" s="1" t="s">
        <v>449</v>
      </c>
      <c r="B228" s="2" t="s">
        <v>346</v>
      </c>
      <c r="C228" s="2" t="s">
        <v>343</v>
      </c>
      <c r="D228" s="2" t="s">
        <v>431</v>
      </c>
      <c r="E228" s="6">
        <v>2800</v>
      </c>
      <c r="F228" s="18">
        <v>40869.35</v>
      </c>
      <c r="G228" s="18">
        <v>16093.06</v>
      </c>
      <c r="H228" s="18">
        <v>21407.23</v>
      </c>
      <c r="I228" s="18">
        <v>3274.91</v>
      </c>
      <c r="J228" s="18">
        <v>385.61</v>
      </c>
      <c r="K228" s="18">
        <v>238.81</v>
      </c>
      <c r="L228" s="13">
        <f>SUM(F228:K228)</f>
        <v>82268.97</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1347533.0699999998</v>
      </c>
      <c r="G230" s="38">
        <f>SUM(G216:G229)</f>
        <v>584355.87000000011</v>
      </c>
      <c r="H230" s="38">
        <f>SUM(H216:H229)</f>
        <v>419681.99</v>
      </c>
      <c r="I230" s="38">
        <f>SUM(I216:I229)</f>
        <v>151957.38999999998</v>
      </c>
      <c r="J230" s="38">
        <f>SUM(J216:J229)</f>
        <v>33299.980000000003</v>
      </c>
      <c r="K230" s="38">
        <f t="shared" si="3"/>
        <v>30988.07</v>
      </c>
      <c r="L230" s="38">
        <f t="shared" si="3"/>
        <v>2567816.37</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v>742879.2</v>
      </c>
      <c r="G234" s="18">
        <v>307092.53000000003</v>
      </c>
      <c r="H234" s="18">
        <v>555.05999999999995</v>
      </c>
      <c r="I234" s="18">
        <v>32475.02</v>
      </c>
      <c r="J234" s="18">
        <v>19941.48</v>
      </c>
      <c r="K234" s="18">
        <v>0</v>
      </c>
      <c r="L234" s="13">
        <f>SUM(F234:K234)</f>
        <v>1102943.29</v>
      </c>
      <c r="M234" s="8"/>
      <c r="N234" s="164"/>
    </row>
    <row r="235" spans="1:14" s="3" customFormat="1" ht="12.2" customHeight="1" x14ac:dyDescent="0.15">
      <c r="A235" s="1" t="s">
        <v>439</v>
      </c>
      <c r="B235" s="2" t="s">
        <v>350</v>
      </c>
      <c r="C235" s="2" t="s">
        <v>291</v>
      </c>
      <c r="D235" s="2" t="s">
        <v>431</v>
      </c>
      <c r="E235" s="6">
        <v>1200</v>
      </c>
      <c r="F235" s="18">
        <v>181338.13</v>
      </c>
      <c r="G235" s="18">
        <v>96920.95</v>
      </c>
      <c r="H235" s="18">
        <v>219809.52</v>
      </c>
      <c r="I235" s="18">
        <v>1253.18</v>
      </c>
      <c r="J235" s="18">
        <v>1359.89</v>
      </c>
      <c r="K235" s="18">
        <v>559.46</v>
      </c>
      <c r="L235" s="13">
        <f>SUM(F235:K235)</f>
        <v>501241.13</v>
      </c>
      <c r="M235" s="8"/>
      <c r="N235" s="164"/>
    </row>
    <row r="236" spans="1:14" s="3" customFormat="1" ht="12.2" customHeight="1" x14ac:dyDescent="0.15">
      <c r="A236" s="1" t="s">
        <v>440</v>
      </c>
      <c r="B236" s="2" t="s">
        <v>350</v>
      </c>
      <c r="C236" s="2" t="s">
        <v>292</v>
      </c>
      <c r="D236" s="2" t="s">
        <v>431</v>
      </c>
      <c r="E236" s="6">
        <v>1300</v>
      </c>
      <c r="F236" s="18">
        <v>0</v>
      </c>
      <c r="G236" s="18">
        <v>0</v>
      </c>
      <c r="H236" s="18">
        <v>13127.12</v>
      </c>
      <c r="I236" s="18">
        <v>0</v>
      </c>
      <c r="J236" s="18">
        <v>0</v>
      </c>
      <c r="K236" s="18">
        <v>0</v>
      </c>
      <c r="L236" s="13">
        <f>SUM(F236:K236)</f>
        <v>13127.12</v>
      </c>
      <c r="M236" s="8"/>
      <c r="N236" s="164"/>
    </row>
    <row r="237" spans="1:14" s="3" customFormat="1" ht="12.2" customHeight="1" x14ac:dyDescent="0.15">
      <c r="A237" s="1" t="s">
        <v>441</v>
      </c>
      <c r="B237" s="2" t="s">
        <v>350</v>
      </c>
      <c r="C237" s="2" t="s">
        <v>293</v>
      </c>
      <c r="D237" s="2" t="s">
        <v>431</v>
      </c>
      <c r="E237" s="6">
        <v>1400</v>
      </c>
      <c r="F237" s="18">
        <v>50516.6</v>
      </c>
      <c r="G237" s="18">
        <v>8314.26</v>
      </c>
      <c r="H237" s="18">
        <v>63035.25</v>
      </c>
      <c r="I237" s="18">
        <v>15013.42</v>
      </c>
      <c r="J237" s="18">
        <v>17959.75</v>
      </c>
      <c r="K237" s="18">
        <v>22139.94</v>
      </c>
      <c r="L237" s="13">
        <f>SUM(F237:K237)</f>
        <v>176979.22</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v>207061.86</v>
      </c>
      <c r="G239" s="18">
        <v>130880.02</v>
      </c>
      <c r="H239" s="18">
        <v>85705.45</v>
      </c>
      <c r="I239" s="18">
        <v>2692.43</v>
      </c>
      <c r="J239" s="18">
        <v>1584.49</v>
      </c>
      <c r="K239" s="18">
        <v>209.95</v>
      </c>
      <c r="L239" s="13">
        <f>SUM(F239:K239)</f>
        <v>428134.2</v>
      </c>
      <c r="M239" s="8"/>
      <c r="N239" s="164"/>
    </row>
    <row r="240" spans="1:14" s="3" customFormat="1" ht="12.2" customHeight="1" x14ac:dyDescent="0.15">
      <c r="A240" s="1" t="s">
        <v>443</v>
      </c>
      <c r="B240" s="2" t="s">
        <v>350</v>
      </c>
      <c r="C240" s="2" t="s">
        <v>295</v>
      </c>
      <c r="D240" s="2" t="s">
        <v>431</v>
      </c>
      <c r="E240" s="6">
        <v>2200</v>
      </c>
      <c r="F240" s="18">
        <v>43400.05</v>
      </c>
      <c r="G240" s="18">
        <v>26483.119999999999</v>
      </c>
      <c r="H240" s="18">
        <v>2352.5700000000002</v>
      </c>
      <c r="I240" s="18">
        <v>5547.77</v>
      </c>
      <c r="J240" s="18">
        <v>0</v>
      </c>
      <c r="K240" s="18">
        <v>73.5</v>
      </c>
      <c r="L240" s="13">
        <f t="shared" ref="L240:L245" si="4">SUM(F240:K240)</f>
        <v>77857.010000000009</v>
      </c>
      <c r="M240" s="8"/>
      <c r="N240" s="164"/>
    </row>
    <row r="241" spans="1:14" s="3" customFormat="1" ht="12.2" customHeight="1" x14ac:dyDescent="0.15">
      <c r="A241" s="1" t="s">
        <v>444</v>
      </c>
      <c r="B241" s="2" t="s">
        <v>350</v>
      </c>
      <c r="C241" s="2" t="s">
        <v>296</v>
      </c>
      <c r="D241" s="2" t="s">
        <v>431</v>
      </c>
      <c r="E241" s="6">
        <v>2300</v>
      </c>
      <c r="F241" s="18">
        <v>83356.97</v>
      </c>
      <c r="G241" s="18">
        <v>27541.200000000001</v>
      </c>
      <c r="H241" s="18">
        <v>8493.2800000000007</v>
      </c>
      <c r="I241" s="18">
        <v>2392.5300000000002</v>
      </c>
      <c r="J241" s="18">
        <v>0</v>
      </c>
      <c r="K241" s="18">
        <v>1747.01</v>
      </c>
      <c r="L241" s="13">
        <f t="shared" si="4"/>
        <v>123530.98999999999</v>
      </c>
      <c r="M241" s="8"/>
      <c r="N241" s="164"/>
    </row>
    <row r="242" spans="1:14" s="3" customFormat="1" ht="12.2" customHeight="1" x14ac:dyDescent="0.15">
      <c r="A242" s="1" t="s">
        <v>445</v>
      </c>
      <c r="B242" s="2" t="s">
        <v>350</v>
      </c>
      <c r="C242" s="2" t="s">
        <v>297</v>
      </c>
      <c r="D242" s="2" t="s">
        <v>431</v>
      </c>
      <c r="E242" s="6">
        <v>2400</v>
      </c>
      <c r="F242" s="18">
        <v>151868.54</v>
      </c>
      <c r="G242" s="18">
        <v>67157.36</v>
      </c>
      <c r="H242" s="18">
        <v>3752.2</v>
      </c>
      <c r="I242" s="18">
        <v>6335.53</v>
      </c>
      <c r="J242" s="18">
        <v>0</v>
      </c>
      <c r="K242" s="18">
        <v>5834.65</v>
      </c>
      <c r="L242" s="13">
        <f t="shared" si="4"/>
        <v>234948.28000000003</v>
      </c>
      <c r="M242" s="8"/>
      <c r="N242" s="164"/>
    </row>
    <row r="243" spans="1:14" s="3" customFormat="1" ht="12.2" customHeight="1" x14ac:dyDescent="0.15">
      <c r="A243" s="1" t="s">
        <v>446</v>
      </c>
      <c r="B243" s="2" t="s">
        <v>350</v>
      </c>
      <c r="C243" s="2" t="s">
        <v>298</v>
      </c>
      <c r="D243" s="2" t="s">
        <v>431</v>
      </c>
      <c r="E243" s="6">
        <v>2500</v>
      </c>
      <c r="F243" s="18">
        <v>41518.75</v>
      </c>
      <c r="G243" s="18">
        <v>20746.53</v>
      </c>
      <c r="H243" s="18">
        <v>674.39</v>
      </c>
      <c r="I243" s="18">
        <v>6207.17</v>
      </c>
      <c r="J243" s="18">
        <v>0</v>
      </c>
      <c r="K243" s="18">
        <v>134.63999999999999</v>
      </c>
      <c r="L243" s="13">
        <f t="shared" si="4"/>
        <v>69281.48</v>
      </c>
      <c r="M243" s="8"/>
      <c r="N243" s="164"/>
    </row>
    <row r="244" spans="1:14" s="3" customFormat="1" ht="12.2" customHeight="1" x14ac:dyDescent="0.15">
      <c r="A244" s="1" t="s">
        <v>447</v>
      </c>
      <c r="B244" s="2" t="s">
        <v>350</v>
      </c>
      <c r="C244" s="2" t="s">
        <v>299</v>
      </c>
      <c r="D244" s="2" t="s">
        <v>431</v>
      </c>
      <c r="E244" s="6">
        <v>2600</v>
      </c>
      <c r="F244" s="18">
        <v>85114.27</v>
      </c>
      <c r="G244" s="18">
        <v>55812.47</v>
      </c>
      <c r="H244" s="18">
        <v>118673.73</v>
      </c>
      <c r="I244" s="18">
        <v>96024.62</v>
      </c>
      <c r="J244" s="18">
        <v>3921.51</v>
      </c>
      <c r="K244" s="18">
        <v>0</v>
      </c>
      <c r="L244" s="13">
        <f t="shared" si="4"/>
        <v>359546.6</v>
      </c>
      <c r="M244" s="8"/>
      <c r="N244" s="164"/>
    </row>
    <row r="245" spans="1:14" s="3" customFormat="1" ht="12.2" customHeight="1" x14ac:dyDescent="0.15">
      <c r="A245" s="1" t="s">
        <v>448</v>
      </c>
      <c r="B245" s="2" t="s">
        <v>350</v>
      </c>
      <c r="C245" s="2" t="s">
        <v>300</v>
      </c>
      <c r="D245" s="2" t="s">
        <v>431</v>
      </c>
      <c r="E245" s="6">
        <v>2700</v>
      </c>
      <c r="F245" s="18">
        <v>11456.56</v>
      </c>
      <c r="G245" s="18">
        <v>1033.57</v>
      </c>
      <c r="H245" s="18">
        <v>251729.02</v>
      </c>
      <c r="I245" s="18">
        <v>5030.16</v>
      </c>
      <c r="J245" s="18">
        <v>0</v>
      </c>
      <c r="K245" s="18">
        <v>0</v>
      </c>
      <c r="L245" s="13">
        <f t="shared" si="4"/>
        <v>269249.30999999994</v>
      </c>
      <c r="M245" s="8"/>
      <c r="N245" s="164"/>
    </row>
    <row r="246" spans="1:14" s="3" customFormat="1" ht="12.2" customHeight="1" x14ac:dyDescent="0.15">
      <c r="A246" s="1" t="s">
        <v>449</v>
      </c>
      <c r="B246" s="2" t="s">
        <v>350</v>
      </c>
      <c r="C246" s="2" t="s">
        <v>343</v>
      </c>
      <c r="D246" s="2" t="s">
        <v>431</v>
      </c>
      <c r="E246" s="6">
        <v>2800</v>
      </c>
      <c r="F246" s="18">
        <v>48378.81</v>
      </c>
      <c r="G246" s="18">
        <v>19059.099999999999</v>
      </c>
      <c r="H246" s="18">
        <v>28054.69</v>
      </c>
      <c r="I246" s="18">
        <v>3036.01</v>
      </c>
      <c r="J246" s="18">
        <v>443.85</v>
      </c>
      <c r="K246" s="18">
        <v>274.87</v>
      </c>
      <c r="L246" s="13">
        <f>SUM(F246:K246)</f>
        <v>99247.33</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1646889.7400000002</v>
      </c>
      <c r="G248" s="38">
        <f t="shared" si="5"/>
        <v>761041.10999999987</v>
      </c>
      <c r="H248" s="38">
        <f t="shared" si="5"/>
        <v>795962.27999999991</v>
      </c>
      <c r="I248" s="38">
        <f t="shared" si="5"/>
        <v>176007.84</v>
      </c>
      <c r="J248" s="38">
        <f t="shared" si="5"/>
        <v>45210.969999999994</v>
      </c>
      <c r="K248" s="38">
        <f t="shared" si="5"/>
        <v>30974.019999999993</v>
      </c>
      <c r="L248" s="38">
        <f t="shared" si="5"/>
        <v>3456085.9600000004</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v>0</v>
      </c>
      <c r="G251" s="18">
        <v>0</v>
      </c>
      <c r="H251" s="18">
        <v>0</v>
      </c>
      <c r="I251" s="18">
        <v>0</v>
      </c>
      <c r="J251" s="18">
        <v>0</v>
      </c>
      <c r="K251" s="18">
        <v>0</v>
      </c>
      <c r="L251" s="13">
        <f t="shared" ref="L251:L256" si="6">SUM(F251:K251)</f>
        <v>0</v>
      </c>
      <c r="M251" s="8"/>
      <c r="N251" s="164"/>
    </row>
    <row r="252" spans="1:14" s="3" customFormat="1" ht="12.2" customHeight="1" x14ac:dyDescent="0.15">
      <c r="A252" s="1" t="s">
        <v>353</v>
      </c>
      <c r="B252" s="2" t="s">
        <v>352</v>
      </c>
      <c r="C252" s="2" t="s">
        <v>309</v>
      </c>
      <c r="D252" s="2" t="s">
        <v>431</v>
      </c>
      <c r="E252" s="6">
        <v>1600</v>
      </c>
      <c r="F252" s="18">
        <v>0</v>
      </c>
      <c r="G252" s="18">
        <v>0</v>
      </c>
      <c r="H252" s="18">
        <v>0</v>
      </c>
      <c r="I252" s="18">
        <v>0</v>
      </c>
      <c r="J252" s="18">
        <v>0</v>
      </c>
      <c r="K252" s="18">
        <v>0</v>
      </c>
      <c r="L252" s="13">
        <f t="shared" si="6"/>
        <v>0</v>
      </c>
      <c r="M252" s="8"/>
      <c r="N252" s="164"/>
    </row>
    <row r="253" spans="1:14" s="3" customFormat="1" ht="12.2" customHeight="1" x14ac:dyDescent="0.15">
      <c r="A253" s="1" t="s">
        <v>582</v>
      </c>
      <c r="B253" s="2" t="s">
        <v>352</v>
      </c>
      <c r="C253" s="2" t="s">
        <v>315</v>
      </c>
      <c r="D253" s="2" t="s">
        <v>431</v>
      </c>
      <c r="E253" s="6">
        <v>1700</v>
      </c>
      <c r="F253" s="18">
        <v>0</v>
      </c>
      <c r="G253" s="18">
        <v>0</v>
      </c>
      <c r="H253" s="18">
        <v>0</v>
      </c>
      <c r="I253" s="18">
        <v>0</v>
      </c>
      <c r="J253" s="18">
        <v>0</v>
      </c>
      <c r="K253" s="18">
        <v>0</v>
      </c>
      <c r="L253" s="13">
        <f t="shared" si="6"/>
        <v>0</v>
      </c>
      <c r="M253" s="8"/>
      <c r="N253" s="164"/>
    </row>
    <row r="254" spans="1:14" s="3" customFormat="1" ht="12.2" customHeight="1" x14ac:dyDescent="0.15">
      <c r="A254" s="1" t="s">
        <v>583</v>
      </c>
      <c r="B254" s="2" t="s">
        <v>352</v>
      </c>
      <c r="C254" s="2" t="s">
        <v>321</v>
      </c>
      <c r="D254" s="2" t="s">
        <v>431</v>
      </c>
      <c r="E254" s="6">
        <v>1800</v>
      </c>
      <c r="F254" s="18">
        <v>0</v>
      </c>
      <c r="G254" s="18">
        <v>0</v>
      </c>
      <c r="H254" s="18">
        <v>0</v>
      </c>
      <c r="I254" s="18">
        <v>0</v>
      </c>
      <c r="J254" s="18">
        <v>0</v>
      </c>
      <c r="K254" s="18">
        <v>0</v>
      </c>
      <c r="L254" s="13">
        <f t="shared" si="6"/>
        <v>0</v>
      </c>
      <c r="M254" s="8"/>
      <c r="N254" s="164"/>
    </row>
    <row r="255" spans="1:14" s="3" customFormat="1" ht="12.2" customHeight="1" x14ac:dyDescent="0.15">
      <c r="A255" s="1" t="s">
        <v>391</v>
      </c>
      <c r="B255" s="2" t="s">
        <v>352</v>
      </c>
      <c r="C255" s="2" t="s">
        <v>324</v>
      </c>
      <c r="D255" s="2" t="s">
        <v>431</v>
      </c>
      <c r="E255" s="6">
        <v>2750</v>
      </c>
      <c r="F255" s="18">
        <v>0</v>
      </c>
      <c r="G255" s="18">
        <v>0</v>
      </c>
      <c r="H255" s="18">
        <v>0</v>
      </c>
      <c r="I255" s="18">
        <v>0</v>
      </c>
      <c r="J255" s="18">
        <v>0</v>
      </c>
      <c r="K255" s="18">
        <v>0</v>
      </c>
      <c r="L255" s="13">
        <f t="shared" si="6"/>
        <v>0</v>
      </c>
      <c r="M255" s="8"/>
      <c r="N255" s="164"/>
    </row>
    <row r="256" spans="1:14" s="3" customFormat="1" ht="12.2" customHeight="1" thickBot="1" x14ac:dyDescent="0.2">
      <c r="A256" s="1" t="s">
        <v>584</v>
      </c>
      <c r="B256" s="2" t="s">
        <v>352</v>
      </c>
      <c r="C256" s="6">
        <v>6</v>
      </c>
      <c r="D256" s="2" t="s">
        <v>431</v>
      </c>
      <c r="E256" s="6">
        <v>4000</v>
      </c>
      <c r="F256" s="18">
        <v>0</v>
      </c>
      <c r="G256" s="18">
        <v>0</v>
      </c>
      <c r="H256" s="18">
        <v>0</v>
      </c>
      <c r="I256" s="18">
        <v>0</v>
      </c>
      <c r="J256" s="18">
        <v>0</v>
      </c>
      <c r="K256" s="18">
        <v>0</v>
      </c>
      <c r="L256" s="13">
        <f t="shared" si="6"/>
        <v>0</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4"/>
    </row>
    <row r="258" spans="1:14" s="3" customFormat="1" ht="12.2" customHeight="1" thickTop="1" x14ac:dyDescent="0.15">
      <c r="A258" s="35" t="s">
        <v>462</v>
      </c>
      <c r="B258" s="37">
        <v>10</v>
      </c>
      <c r="C258" s="37">
        <v>8</v>
      </c>
      <c r="D258" s="36" t="s">
        <v>431</v>
      </c>
      <c r="E258" s="37"/>
      <c r="F258" s="38">
        <f t="shared" ref="F258:L258" si="8">F212+F230+F248+F257</f>
        <v>6291631.25</v>
      </c>
      <c r="G258" s="38">
        <f t="shared" si="8"/>
        <v>2909232.3300000005</v>
      </c>
      <c r="H258" s="38">
        <f t="shared" si="8"/>
        <v>2370551.8199999998</v>
      </c>
      <c r="I258" s="38">
        <f t="shared" si="8"/>
        <v>631733.35</v>
      </c>
      <c r="J258" s="38">
        <f t="shared" si="8"/>
        <v>137021.76999999999</v>
      </c>
      <c r="K258" s="38">
        <f t="shared" si="8"/>
        <v>72994.28</v>
      </c>
      <c r="L258" s="38">
        <f t="shared" si="8"/>
        <v>12413164.800000001</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380000</v>
      </c>
      <c r="L261" s="13">
        <f>SUM(F261:K261)</f>
        <v>380000</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224590</v>
      </c>
      <c r="L262" s="13">
        <f>SUM(F262:K262)</f>
        <v>224590</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15615.28</v>
      </c>
      <c r="L264" s="13">
        <f>SUM(F264:K264)</f>
        <v>15615.28</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190000</v>
      </c>
      <c r="L267" s="13">
        <f t="shared" si="9"/>
        <v>190000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810205.28</v>
      </c>
      <c r="L271" s="38">
        <f t="shared" si="9"/>
        <v>810205.28</v>
      </c>
      <c r="M271" s="8"/>
      <c r="N271" s="164"/>
    </row>
    <row r="272" spans="1:14" s="33" customFormat="1" ht="12.2" customHeight="1" thickTop="1" x14ac:dyDescent="0.2">
      <c r="A272" s="40" t="s">
        <v>464</v>
      </c>
      <c r="B272" s="37">
        <v>10</v>
      </c>
      <c r="C272" s="37">
        <v>18</v>
      </c>
      <c r="D272" s="36" t="s">
        <v>431</v>
      </c>
      <c r="E272" s="37"/>
      <c r="F272" s="39">
        <f t="shared" ref="F272:L272" si="11">F258+F271</f>
        <v>6291631.25</v>
      </c>
      <c r="G272" s="39">
        <f t="shared" si="11"/>
        <v>2909232.3300000005</v>
      </c>
      <c r="H272" s="39">
        <f t="shared" si="11"/>
        <v>2370551.8199999998</v>
      </c>
      <c r="I272" s="39">
        <f t="shared" si="11"/>
        <v>631733.35</v>
      </c>
      <c r="J272" s="39">
        <f t="shared" si="11"/>
        <v>137021.76999999999</v>
      </c>
      <c r="K272" s="39">
        <f t="shared" si="11"/>
        <v>883199.56</v>
      </c>
      <c r="L272" s="39">
        <f t="shared" si="11"/>
        <v>13223370.08</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v>66743.75</v>
      </c>
      <c r="G277" s="18">
        <v>6761.95</v>
      </c>
      <c r="H277" s="18">
        <v>0</v>
      </c>
      <c r="I277" s="18">
        <v>10149.700000000001</v>
      </c>
      <c r="J277" s="18">
        <v>0</v>
      </c>
      <c r="K277" s="18">
        <v>0</v>
      </c>
      <c r="L277" s="13">
        <f>SUM(F277:K277)</f>
        <v>83655.399999999994</v>
      </c>
      <c r="M277" s="8"/>
      <c r="N277" s="164"/>
    </row>
    <row r="278" spans="1:14" s="3" customFormat="1" ht="12.2" customHeight="1" x14ac:dyDescent="0.15">
      <c r="A278" s="1" t="s">
        <v>439</v>
      </c>
      <c r="B278" s="2" t="s">
        <v>357</v>
      </c>
      <c r="C278" s="2" t="s">
        <v>291</v>
      </c>
      <c r="D278" s="2" t="s">
        <v>431</v>
      </c>
      <c r="E278" s="6">
        <v>1200</v>
      </c>
      <c r="F278" s="18">
        <v>8000</v>
      </c>
      <c r="G278" s="18">
        <v>0</v>
      </c>
      <c r="H278" s="18">
        <v>13911.09</v>
      </c>
      <c r="I278" s="18">
        <v>3671.18</v>
      </c>
      <c r="J278" s="18">
        <v>0</v>
      </c>
      <c r="K278" s="18">
        <v>0</v>
      </c>
      <c r="L278" s="13">
        <f>SUM(F278:K278)</f>
        <v>25582.27</v>
      </c>
      <c r="M278" s="8"/>
      <c r="N278" s="164"/>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3">
        <f>SUM(F279:K279)</f>
        <v>0</v>
      </c>
      <c r="M279" s="8"/>
      <c r="N279" s="164"/>
    </row>
    <row r="280" spans="1:14" s="3" customFormat="1" ht="12.2" customHeight="1" x14ac:dyDescent="0.15">
      <c r="A280" s="1" t="s">
        <v>441</v>
      </c>
      <c r="B280" s="2" t="s">
        <v>357</v>
      </c>
      <c r="C280" s="2" t="s">
        <v>293</v>
      </c>
      <c r="D280" s="2" t="s">
        <v>431</v>
      </c>
      <c r="E280" s="6">
        <v>1400</v>
      </c>
      <c r="F280" s="18">
        <v>34396.25</v>
      </c>
      <c r="G280" s="18">
        <v>7503.55</v>
      </c>
      <c r="H280" s="18">
        <v>1696</v>
      </c>
      <c r="I280" s="18">
        <v>4020.21</v>
      </c>
      <c r="J280" s="18">
        <v>0</v>
      </c>
      <c r="K280" s="18">
        <v>0</v>
      </c>
      <c r="L280" s="13">
        <f>SUM(F280:K280)</f>
        <v>47616.01</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v>0</v>
      </c>
      <c r="G282" s="18">
        <v>0</v>
      </c>
      <c r="H282" s="18">
        <v>79011.789999999994</v>
      </c>
      <c r="I282" s="18">
        <v>0</v>
      </c>
      <c r="J282" s="18">
        <v>0</v>
      </c>
      <c r="K282" s="18">
        <v>0</v>
      </c>
      <c r="L282" s="13">
        <f t="shared" ref="L282:L288" si="12">SUM(F282:K282)</f>
        <v>79011.789999999994</v>
      </c>
      <c r="M282" s="8"/>
      <c r="N282" s="164"/>
    </row>
    <row r="283" spans="1:14" s="3" customFormat="1" ht="12.2" customHeight="1" x14ac:dyDescent="0.15">
      <c r="A283" s="1" t="s">
        <v>443</v>
      </c>
      <c r="B283" s="2" t="s">
        <v>357</v>
      </c>
      <c r="C283" s="2" t="s">
        <v>295</v>
      </c>
      <c r="D283" s="2" t="s">
        <v>431</v>
      </c>
      <c r="E283" s="6">
        <v>2200</v>
      </c>
      <c r="F283" s="18">
        <v>8598.4</v>
      </c>
      <c r="G283" s="18">
        <v>4780.18</v>
      </c>
      <c r="H283" s="18">
        <v>3436</v>
      </c>
      <c r="I283" s="18">
        <v>124.3</v>
      </c>
      <c r="J283" s="18">
        <v>0</v>
      </c>
      <c r="K283" s="18">
        <v>0</v>
      </c>
      <c r="L283" s="13">
        <f t="shared" si="12"/>
        <v>16938.88</v>
      </c>
      <c r="M283" s="8"/>
      <c r="N283" s="164"/>
    </row>
    <row r="284" spans="1:14" s="3" customFormat="1" ht="12.2" customHeight="1" x14ac:dyDescent="0.15">
      <c r="A284" s="1" t="s">
        <v>444</v>
      </c>
      <c r="B284" s="2" t="s">
        <v>357</v>
      </c>
      <c r="C284" s="2" t="s">
        <v>296</v>
      </c>
      <c r="D284" s="2" t="s">
        <v>431</v>
      </c>
      <c r="E284" s="6">
        <v>2300</v>
      </c>
      <c r="F284" s="18">
        <v>3775.62</v>
      </c>
      <c r="G284" s="18">
        <v>0</v>
      </c>
      <c r="H284" s="18">
        <v>0</v>
      </c>
      <c r="I284" s="18">
        <v>0</v>
      </c>
      <c r="J284" s="18">
        <v>0</v>
      </c>
      <c r="K284" s="18">
        <v>0</v>
      </c>
      <c r="L284" s="13">
        <f t="shared" si="12"/>
        <v>3775.62</v>
      </c>
      <c r="M284" s="8"/>
      <c r="N284" s="164"/>
    </row>
    <row r="285" spans="1:14" s="3" customFormat="1" ht="12.2" customHeight="1" x14ac:dyDescent="0.15">
      <c r="A285" s="1" t="s">
        <v>445</v>
      </c>
      <c r="B285" s="2" t="s">
        <v>357</v>
      </c>
      <c r="C285" s="2" t="s">
        <v>297</v>
      </c>
      <c r="D285" s="2" t="s">
        <v>431</v>
      </c>
      <c r="E285" s="6">
        <v>2400</v>
      </c>
      <c r="F285" s="18">
        <v>228.36</v>
      </c>
      <c r="G285" s="18">
        <v>49.83</v>
      </c>
      <c r="H285" s="18">
        <v>0</v>
      </c>
      <c r="I285" s="18">
        <v>0</v>
      </c>
      <c r="J285" s="18">
        <v>0</v>
      </c>
      <c r="K285" s="18">
        <v>0</v>
      </c>
      <c r="L285" s="13">
        <f t="shared" si="12"/>
        <v>278.19</v>
      </c>
      <c r="M285" s="8"/>
      <c r="N285" s="164"/>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0</v>
      </c>
      <c r="L286" s="13">
        <f t="shared" si="12"/>
        <v>0</v>
      </c>
      <c r="M286" s="8"/>
      <c r="N286" s="164"/>
    </row>
    <row r="287" spans="1:14" s="3" customFormat="1" ht="12.2" customHeight="1" x14ac:dyDescent="0.15">
      <c r="A287" s="1" t="s">
        <v>447</v>
      </c>
      <c r="B287" s="2" t="s">
        <v>357</v>
      </c>
      <c r="C287" s="2" t="s">
        <v>299</v>
      </c>
      <c r="D287" s="2" t="s">
        <v>431</v>
      </c>
      <c r="E287" s="6">
        <v>2600</v>
      </c>
      <c r="F287" s="18">
        <v>0</v>
      </c>
      <c r="G287" s="18">
        <v>0</v>
      </c>
      <c r="H287" s="18">
        <v>0</v>
      </c>
      <c r="I287" s="18">
        <v>0</v>
      </c>
      <c r="J287" s="18">
        <v>54042.82</v>
      </c>
      <c r="K287" s="18">
        <v>0</v>
      </c>
      <c r="L287" s="13">
        <f t="shared" si="12"/>
        <v>54042.82</v>
      </c>
      <c r="M287" s="8"/>
      <c r="N287" s="164"/>
    </row>
    <row r="288" spans="1:14" s="3" customFormat="1" ht="12.2" customHeight="1" x14ac:dyDescent="0.15">
      <c r="A288" s="1" t="s">
        <v>448</v>
      </c>
      <c r="B288" s="2" t="s">
        <v>357</v>
      </c>
      <c r="C288" s="2" t="s">
        <v>300</v>
      </c>
      <c r="D288" s="2" t="s">
        <v>431</v>
      </c>
      <c r="E288" s="6">
        <v>2700</v>
      </c>
      <c r="F288" s="18">
        <v>0</v>
      </c>
      <c r="G288" s="18">
        <v>0</v>
      </c>
      <c r="H288" s="18">
        <v>14177.26</v>
      </c>
      <c r="I288" s="18">
        <v>0</v>
      </c>
      <c r="J288" s="18">
        <v>0</v>
      </c>
      <c r="K288" s="18">
        <v>0</v>
      </c>
      <c r="L288" s="13">
        <f t="shared" si="12"/>
        <v>14177.26</v>
      </c>
      <c r="M288" s="8"/>
      <c r="N288" s="164"/>
    </row>
    <row r="289" spans="1:14" s="3" customFormat="1" ht="12.2" customHeight="1" x14ac:dyDescent="0.15">
      <c r="A289" s="1" t="s">
        <v>449</v>
      </c>
      <c r="B289" s="2" t="s">
        <v>357</v>
      </c>
      <c r="C289" s="2" t="s">
        <v>343</v>
      </c>
      <c r="D289" s="2" t="s">
        <v>431</v>
      </c>
      <c r="E289" s="6">
        <v>2800</v>
      </c>
      <c r="F289" s="18">
        <v>0</v>
      </c>
      <c r="G289" s="18">
        <v>0</v>
      </c>
      <c r="H289" s="18">
        <v>0</v>
      </c>
      <c r="I289" s="18">
        <v>0</v>
      </c>
      <c r="J289" s="18">
        <v>0</v>
      </c>
      <c r="K289" s="18">
        <v>0</v>
      </c>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121742.37999999999</v>
      </c>
      <c r="G291" s="39">
        <f t="shared" si="13"/>
        <v>19095.510000000002</v>
      </c>
      <c r="H291" s="39">
        <f t="shared" si="13"/>
        <v>112232.13999999998</v>
      </c>
      <c r="I291" s="39">
        <f t="shared" si="13"/>
        <v>17965.39</v>
      </c>
      <c r="J291" s="39">
        <f t="shared" si="13"/>
        <v>54042.82</v>
      </c>
      <c r="K291" s="39">
        <f t="shared" si="13"/>
        <v>0</v>
      </c>
      <c r="L291" s="38">
        <f t="shared" si="13"/>
        <v>325078.24</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v>16390.25</v>
      </c>
      <c r="G296" s="18">
        <v>1339.43</v>
      </c>
      <c r="H296" s="18">
        <v>0</v>
      </c>
      <c r="I296" s="18">
        <v>4015.31</v>
      </c>
      <c r="J296" s="18">
        <v>0</v>
      </c>
      <c r="K296" s="18">
        <v>4621.67</v>
      </c>
      <c r="L296" s="13">
        <f>SUM(F296:K296)</f>
        <v>26366.660000000003</v>
      </c>
      <c r="M296" s="8"/>
      <c r="N296" s="164"/>
    </row>
    <row r="297" spans="1:14" s="3" customFormat="1" ht="12.2" customHeight="1" x14ac:dyDescent="0.15">
      <c r="A297" s="1" t="s">
        <v>439</v>
      </c>
      <c r="B297" s="2" t="s">
        <v>358</v>
      </c>
      <c r="C297" s="2" t="s">
        <v>291</v>
      </c>
      <c r="D297" s="2" t="s">
        <v>431</v>
      </c>
      <c r="E297" s="6">
        <v>1200</v>
      </c>
      <c r="F297" s="18">
        <v>2250</v>
      </c>
      <c r="G297" s="18">
        <v>0</v>
      </c>
      <c r="H297" s="18">
        <v>0</v>
      </c>
      <c r="I297" s="18">
        <v>0</v>
      </c>
      <c r="J297" s="18">
        <v>0</v>
      </c>
      <c r="K297" s="18">
        <v>0</v>
      </c>
      <c r="L297" s="13">
        <f>SUM(F297:K297)</f>
        <v>2250</v>
      </c>
      <c r="M297" s="8"/>
      <c r="N297" s="164"/>
    </row>
    <row r="298" spans="1:14" s="3" customFormat="1" ht="12.2" customHeight="1" x14ac:dyDescent="0.15">
      <c r="A298" s="1" t="s">
        <v>440</v>
      </c>
      <c r="B298" s="2" t="s">
        <v>358</v>
      </c>
      <c r="C298" s="2" t="s">
        <v>292</v>
      </c>
      <c r="D298" s="2" t="s">
        <v>431</v>
      </c>
      <c r="E298" s="6">
        <v>1300</v>
      </c>
      <c r="F298" s="18">
        <v>0</v>
      </c>
      <c r="G298" s="18">
        <v>0</v>
      </c>
      <c r="H298" s="18">
        <v>0</v>
      </c>
      <c r="I298" s="18">
        <v>0</v>
      </c>
      <c r="J298" s="18">
        <v>0</v>
      </c>
      <c r="K298" s="18">
        <v>0</v>
      </c>
      <c r="L298" s="13">
        <f>SUM(F298:K298)</f>
        <v>0</v>
      </c>
      <c r="M298" s="8"/>
      <c r="N298" s="164"/>
    </row>
    <row r="299" spans="1:14" s="3" customFormat="1" ht="12.2" customHeight="1" x14ac:dyDescent="0.15">
      <c r="A299" s="1" t="s">
        <v>441</v>
      </c>
      <c r="B299" s="2" t="s">
        <v>358</v>
      </c>
      <c r="C299" s="2" t="s">
        <v>293</v>
      </c>
      <c r="D299" s="2" t="s">
        <v>431</v>
      </c>
      <c r="E299" s="6">
        <v>1400</v>
      </c>
      <c r="F299" s="18">
        <v>2324.8000000000002</v>
      </c>
      <c r="G299" s="18">
        <v>400.26</v>
      </c>
      <c r="H299" s="18">
        <v>704</v>
      </c>
      <c r="I299" s="18">
        <v>239.09</v>
      </c>
      <c r="J299" s="18">
        <v>0</v>
      </c>
      <c r="K299" s="18">
        <v>0</v>
      </c>
      <c r="L299" s="13">
        <f>SUM(F299:K299)</f>
        <v>3668.1500000000005</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v>0</v>
      </c>
      <c r="G301" s="18">
        <v>0</v>
      </c>
      <c r="H301" s="18">
        <v>20069.21</v>
      </c>
      <c r="I301" s="18">
        <v>0</v>
      </c>
      <c r="J301" s="18">
        <v>0</v>
      </c>
      <c r="K301" s="18">
        <v>0</v>
      </c>
      <c r="L301" s="13">
        <f t="shared" ref="L301:L307" si="14">SUM(F301:K301)</f>
        <v>20069.21</v>
      </c>
      <c r="M301" s="8"/>
      <c r="N301" s="164"/>
    </row>
    <row r="302" spans="1:14" s="3" customFormat="1" ht="12.2" customHeight="1" x14ac:dyDescent="0.15">
      <c r="A302" s="1" t="s">
        <v>443</v>
      </c>
      <c r="B302" s="2" t="s">
        <v>358</v>
      </c>
      <c r="C302" s="2" t="s">
        <v>295</v>
      </c>
      <c r="D302" s="2" t="s">
        <v>431</v>
      </c>
      <c r="E302" s="6">
        <v>2200</v>
      </c>
      <c r="F302" s="18">
        <v>2651.6</v>
      </c>
      <c r="G302" s="18">
        <v>672.7</v>
      </c>
      <c r="H302" s="18">
        <v>1575</v>
      </c>
      <c r="I302" s="18">
        <v>396.56</v>
      </c>
      <c r="J302" s="18">
        <v>0</v>
      </c>
      <c r="K302" s="18">
        <v>0</v>
      </c>
      <c r="L302" s="13">
        <f t="shared" si="14"/>
        <v>5295.8600000000006</v>
      </c>
      <c r="M302" s="8"/>
      <c r="N302" s="164"/>
    </row>
    <row r="303" spans="1:14" s="3" customFormat="1" ht="12.2" customHeight="1" x14ac:dyDescent="0.15">
      <c r="A303" s="1" t="s">
        <v>444</v>
      </c>
      <c r="B303" s="2" t="s">
        <v>358</v>
      </c>
      <c r="C303" s="2" t="s">
        <v>296</v>
      </c>
      <c r="D303" s="2" t="s">
        <v>431</v>
      </c>
      <c r="E303" s="6">
        <v>2300</v>
      </c>
      <c r="F303" s="18">
        <v>739.49</v>
      </c>
      <c r="G303" s="18">
        <v>0</v>
      </c>
      <c r="H303" s="18">
        <v>0</v>
      </c>
      <c r="I303" s="18">
        <v>0</v>
      </c>
      <c r="J303" s="18">
        <v>0</v>
      </c>
      <c r="K303" s="18">
        <v>0</v>
      </c>
      <c r="L303" s="13">
        <f t="shared" si="14"/>
        <v>739.49</v>
      </c>
      <c r="M303" s="8"/>
      <c r="N303" s="164"/>
    </row>
    <row r="304" spans="1:14" s="3" customFormat="1" ht="12.2" customHeight="1" x14ac:dyDescent="0.15">
      <c r="A304" s="1" t="s">
        <v>445</v>
      </c>
      <c r="B304" s="2" t="s">
        <v>358</v>
      </c>
      <c r="C304" s="2" t="s">
        <v>297</v>
      </c>
      <c r="D304" s="2" t="s">
        <v>431</v>
      </c>
      <c r="E304" s="6">
        <v>2400</v>
      </c>
      <c r="F304" s="18">
        <v>1000</v>
      </c>
      <c r="G304" s="18">
        <v>250.29</v>
      </c>
      <c r="H304" s="18">
        <v>0</v>
      </c>
      <c r="I304" s="18">
        <v>0</v>
      </c>
      <c r="J304" s="18">
        <v>0</v>
      </c>
      <c r="K304" s="18">
        <v>87.75</v>
      </c>
      <c r="L304" s="13">
        <f t="shared" si="14"/>
        <v>1338.04</v>
      </c>
      <c r="M304" s="8"/>
      <c r="N304" s="164"/>
    </row>
    <row r="305" spans="1:14" s="3" customFormat="1" ht="12.2" customHeight="1" x14ac:dyDescent="0.15">
      <c r="A305" s="1" t="s">
        <v>446</v>
      </c>
      <c r="B305" s="2" t="s">
        <v>358</v>
      </c>
      <c r="C305" s="2" t="s">
        <v>298</v>
      </c>
      <c r="D305" s="2" t="s">
        <v>431</v>
      </c>
      <c r="E305" s="6">
        <v>2500</v>
      </c>
      <c r="F305" s="18">
        <v>0</v>
      </c>
      <c r="G305" s="18">
        <v>0</v>
      </c>
      <c r="H305" s="18">
        <v>0</v>
      </c>
      <c r="I305" s="18">
        <v>0</v>
      </c>
      <c r="J305" s="18">
        <v>0</v>
      </c>
      <c r="K305" s="18">
        <v>0</v>
      </c>
      <c r="L305" s="13">
        <f t="shared" si="14"/>
        <v>0</v>
      </c>
      <c r="M305" s="8"/>
      <c r="N305" s="164"/>
    </row>
    <row r="306" spans="1:14" s="3" customFormat="1" ht="12.2" customHeight="1" x14ac:dyDescent="0.15">
      <c r="A306" s="1" t="s">
        <v>447</v>
      </c>
      <c r="B306" s="2" t="s">
        <v>358</v>
      </c>
      <c r="C306" s="2" t="s">
        <v>299</v>
      </c>
      <c r="D306" s="2" t="s">
        <v>431</v>
      </c>
      <c r="E306" s="6">
        <v>2600</v>
      </c>
      <c r="F306" s="18">
        <v>0</v>
      </c>
      <c r="G306" s="18">
        <v>0</v>
      </c>
      <c r="H306" s="18">
        <v>0</v>
      </c>
      <c r="I306" s="18">
        <v>0</v>
      </c>
      <c r="J306" s="18">
        <v>41643.64</v>
      </c>
      <c r="K306" s="18">
        <v>0</v>
      </c>
      <c r="L306" s="13">
        <f t="shared" si="14"/>
        <v>41643.64</v>
      </c>
      <c r="M306" s="8"/>
      <c r="N306" s="164"/>
    </row>
    <row r="307" spans="1:14" s="3" customFormat="1" ht="12.2" customHeight="1" x14ac:dyDescent="0.15">
      <c r="A307" s="1" t="s">
        <v>448</v>
      </c>
      <c r="B307" s="2" t="s">
        <v>358</v>
      </c>
      <c r="C307" s="2" t="s">
        <v>300</v>
      </c>
      <c r="D307" s="2" t="s">
        <v>431</v>
      </c>
      <c r="E307" s="6">
        <v>2700</v>
      </c>
      <c r="F307" s="18">
        <v>0</v>
      </c>
      <c r="G307" s="18">
        <v>0</v>
      </c>
      <c r="H307" s="18">
        <v>0</v>
      </c>
      <c r="I307" s="18">
        <v>0</v>
      </c>
      <c r="J307" s="18">
        <v>0</v>
      </c>
      <c r="K307" s="18">
        <v>0</v>
      </c>
      <c r="L307" s="13">
        <f t="shared" si="14"/>
        <v>0</v>
      </c>
      <c r="M307" s="8"/>
      <c r="N307" s="164"/>
    </row>
    <row r="308" spans="1:14" s="3" customFormat="1" ht="12.2" customHeight="1" x14ac:dyDescent="0.15">
      <c r="A308" s="1" t="s">
        <v>449</v>
      </c>
      <c r="B308" s="2" t="s">
        <v>358</v>
      </c>
      <c r="C308" s="2" t="s">
        <v>343</v>
      </c>
      <c r="D308" s="2" t="s">
        <v>431</v>
      </c>
      <c r="E308" s="6">
        <v>2800</v>
      </c>
      <c r="F308" s="18">
        <v>0</v>
      </c>
      <c r="G308" s="18">
        <v>0</v>
      </c>
      <c r="H308" s="18">
        <v>0</v>
      </c>
      <c r="I308" s="18">
        <v>0</v>
      </c>
      <c r="J308" s="18">
        <v>0</v>
      </c>
      <c r="K308" s="18">
        <v>0</v>
      </c>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25356.14</v>
      </c>
      <c r="G310" s="39">
        <f t="shared" si="15"/>
        <v>2662.6800000000003</v>
      </c>
      <c r="H310" s="39">
        <f t="shared" si="15"/>
        <v>22348.21</v>
      </c>
      <c r="I310" s="39">
        <f t="shared" si="15"/>
        <v>4650.96</v>
      </c>
      <c r="J310" s="39">
        <f t="shared" si="15"/>
        <v>41643.64</v>
      </c>
      <c r="K310" s="39">
        <f t="shared" si="15"/>
        <v>4709.42</v>
      </c>
      <c r="L310" s="38">
        <f t="shared" si="15"/>
        <v>101371.05</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v>4979</v>
      </c>
      <c r="G315" s="18">
        <v>406.84</v>
      </c>
      <c r="H315" s="18">
        <v>0</v>
      </c>
      <c r="I315" s="18">
        <v>0</v>
      </c>
      <c r="J315" s="18">
        <v>0</v>
      </c>
      <c r="K315" s="18">
        <v>0</v>
      </c>
      <c r="L315" s="13">
        <f>SUM(F315:K315)</f>
        <v>5385.84</v>
      </c>
      <c r="M315" s="8"/>
      <c r="N315" s="164"/>
    </row>
    <row r="316" spans="1:14" s="3" customFormat="1" ht="12.2" customHeight="1" x14ac:dyDescent="0.15">
      <c r="A316" s="1" t="s">
        <v>439</v>
      </c>
      <c r="B316" s="2" t="s">
        <v>359</v>
      </c>
      <c r="C316" s="2" t="s">
        <v>291</v>
      </c>
      <c r="D316" s="2" t="s">
        <v>431</v>
      </c>
      <c r="E316" s="6">
        <v>1200</v>
      </c>
      <c r="F316" s="18">
        <v>2750</v>
      </c>
      <c r="G316" s="18">
        <v>0</v>
      </c>
      <c r="H316" s="18">
        <v>32058.16</v>
      </c>
      <c r="I316" s="18">
        <v>0</v>
      </c>
      <c r="J316" s="18">
        <v>0</v>
      </c>
      <c r="K316" s="18">
        <v>0</v>
      </c>
      <c r="L316" s="13">
        <f>SUM(F316:K316)</f>
        <v>34808.160000000003</v>
      </c>
      <c r="M316" s="8"/>
      <c r="N316" s="164"/>
    </row>
    <row r="317" spans="1:14" s="3" customFormat="1" ht="12.2" customHeight="1" x14ac:dyDescent="0.15">
      <c r="A317" s="1" t="s">
        <v>440</v>
      </c>
      <c r="B317" s="2" t="s">
        <v>359</v>
      </c>
      <c r="C317" s="2" t="s">
        <v>292</v>
      </c>
      <c r="D317" s="2" t="s">
        <v>431</v>
      </c>
      <c r="E317" s="6">
        <v>1300</v>
      </c>
      <c r="F317" s="18">
        <v>0</v>
      </c>
      <c r="G317" s="18">
        <v>0</v>
      </c>
      <c r="H317" s="18">
        <v>0</v>
      </c>
      <c r="I317" s="18">
        <v>0</v>
      </c>
      <c r="J317" s="18">
        <v>0</v>
      </c>
      <c r="K317" s="18">
        <v>0</v>
      </c>
      <c r="L317" s="13">
        <f>SUM(F317:K317)</f>
        <v>0</v>
      </c>
      <c r="M317" s="8"/>
      <c r="N317" s="164"/>
    </row>
    <row r="318" spans="1:14" s="3" customFormat="1" ht="12.2" customHeight="1" x14ac:dyDescent="0.15">
      <c r="A318" s="1" t="s">
        <v>441</v>
      </c>
      <c r="B318" s="2" t="s">
        <v>359</v>
      </c>
      <c r="C318" s="2" t="s">
        <v>293</v>
      </c>
      <c r="D318" s="2" t="s">
        <v>431</v>
      </c>
      <c r="E318" s="6">
        <v>1400</v>
      </c>
      <c r="F318" s="18">
        <v>2210.29</v>
      </c>
      <c r="G318" s="18">
        <v>313.62</v>
      </c>
      <c r="H318" s="18">
        <v>800</v>
      </c>
      <c r="I318" s="18">
        <v>279.27</v>
      </c>
      <c r="J318" s="18">
        <v>0</v>
      </c>
      <c r="K318" s="18">
        <v>0</v>
      </c>
      <c r="L318" s="13">
        <f>SUM(F318:K318)</f>
        <v>3603.18</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v>0</v>
      </c>
      <c r="G320" s="18">
        <v>0</v>
      </c>
      <c r="H320" s="18">
        <v>23099.919999999998</v>
      </c>
      <c r="I320" s="18">
        <v>0</v>
      </c>
      <c r="J320" s="18">
        <v>0</v>
      </c>
      <c r="K320" s="18">
        <v>0</v>
      </c>
      <c r="L320" s="13">
        <f t="shared" ref="L320:L326" si="16">SUM(F320:K320)</f>
        <v>23099.919999999998</v>
      </c>
      <c r="M320" s="8"/>
      <c r="N320" s="164"/>
    </row>
    <row r="321" spans="1:14" s="3" customFormat="1" ht="12.2" customHeight="1" x14ac:dyDescent="0.15">
      <c r="A321" s="1" t="s">
        <v>443</v>
      </c>
      <c r="B321" s="2" t="s">
        <v>359</v>
      </c>
      <c r="C321" s="2" t="s">
        <v>295</v>
      </c>
      <c r="D321" s="2" t="s">
        <v>431</v>
      </c>
      <c r="E321" s="6">
        <v>2200</v>
      </c>
      <c r="F321" s="18">
        <v>2750</v>
      </c>
      <c r="G321" s="18">
        <v>689.23</v>
      </c>
      <c r="H321" s="18">
        <v>1925</v>
      </c>
      <c r="I321" s="18">
        <v>0</v>
      </c>
      <c r="J321" s="18">
        <v>0</v>
      </c>
      <c r="K321" s="18">
        <v>0</v>
      </c>
      <c r="L321" s="13">
        <f t="shared" si="16"/>
        <v>5364.23</v>
      </c>
      <c r="M321" s="8"/>
      <c r="N321" s="164"/>
    </row>
    <row r="322" spans="1:14" s="3" customFormat="1" ht="12.2" customHeight="1" x14ac:dyDescent="0.15">
      <c r="A322" s="1" t="s">
        <v>444</v>
      </c>
      <c r="B322" s="2" t="s">
        <v>359</v>
      </c>
      <c r="C322" s="2" t="s">
        <v>296</v>
      </c>
      <c r="D322" s="2" t="s">
        <v>431</v>
      </c>
      <c r="E322" s="6">
        <v>2300</v>
      </c>
      <c r="F322" s="18">
        <v>851.16</v>
      </c>
      <c r="G322" s="18">
        <v>0</v>
      </c>
      <c r="H322" s="18">
        <v>0</v>
      </c>
      <c r="I322" s="18">
        <v>0</v>
      </c>
      <c r="J322" s="18">
        <v>0</v>
      </c>
      <c r="K322" s="18">
        <v>0</v>
      </c>
      <c r="L322" s="13">
        <f t="shared" si="16"/>
        <v>851.16</v>
      </c>
      <c r="M322" s="8"/>
      <c r="N322" s="164"/>
    </row>
    <row r="323" spans="1:14" s="3" customFormat="1" ht="12.2" customHeight="1" x14ac:dyDescent="0.15">
      <c r="A323" s="1" t="s">
        <v>445</v>
      </c>
      <c r="B323" s="2" t="s">
        <v>359</v>
      </c>
      <c r="C323" s="2" t="s">
        <v>297</v>
      </c>
      <c r="D323" s="2" t="s">
        <v>431</v>
      </c>
      <c r="E323" s="6">
        <v>2400</v>
      </c>
      <c r="F323" s="18">
        <v>1000</v>
      </c>
      <c r="G323" s="18">
        <v>305.91000000000003</v>
      </c>
      <c r="H323" s="18">
        <v>0</v>
      </c>
      <c r="I323" s="18">
        <v>0</v>
      </c>
      <c r="J323" s="18">
        <v>0</v>
      </c>
      <c r="K323" s="18">
        <v>107.25</v>
      </c>
      <c r="L323" s="13">
        <f t="shared" si="16"/>
        <v>1413.16</v>
      </c>
      <c r="M323" s="8"/>
      <c r="N323" s="164"/>
    </row>
    <row r="324" spans="1:14" s="3" customFormat="1" ht="12.2" customHeight="1" x14ac:dyDescent="0.15">
      <c r="A324" s="1" t="s">
        <v>446</v>
      </c>
      <c r="B324" s="2" t="s">
        <v>359</v>
      </c>
      <c r="C324" s="2" t="s">
        <v>298</v>
      </c>
      <c r="D324" s="2" t="s">
        <v>431</v>
      </c>
      <c r="E324" s="6">
        <v>2500</v>
      </c>
      <c r="F324" s="18">
        <v>0</v>
      </c>
      <c r="G324" s="18">
        <v>0</v>
      </c>
      <c r="H324" s="18">
        <v>0</v>
      </c>
      <c r="I324" s="18">
        <v>0</v>
      </c>
      <c r="J324" s="18">
        <v>0</v>
      </c>
      <c r="K324" s="18">
        <v>0</v>
      </c>
      <c r="L324" s="13">
        <f t="shared" si="16"/>
        <v>0</v>
      </c>
      <c r="M324" s="8"/>
      <c r="N324" s="164"/>
    </row>
    <row r="325" spans="1:14" s="3" customFormat="1" ht="12.2" customHeight="1" x14ac:dyDescent="0.15">
      <c r="A325" s="1" t="s">
        <v>447</v>
      </c>
      <c r="B325" s="2" t="s">
        <v>359</v>
      </c>
      <c r="C325" s="2" t="s">
        <v>299</v>
      </c>
      <c r="D325" s="2" t="s">
        <v>431</v>
      </c>
      <c r="E325" s="6">
        <v>2600</v>
      </c>
      <c r="F325" s="18">
        <v>0</v>
      </c>
      <c r="G325" s="18">
        <v>0</v>
      </c>
      <c r="H325" s="18">
        <v>0</v>
      </c>
      <c r="I325" s="18">
        <v>0</v>
      </c>
      <c r="J325" s="18">
        <v>111186.49</v>
      </c>
      <c r="K325" s="18">
        <v>0</v>
      </c>
      <c r="L325" s="13">
        <f t="shared" si="16"/>
        <v>111186.49</v>
      </c>
      <c r="M325" s="8"/>
      <c r="N325" s="164"/>
    </row>
    <row r="326" spans="1:14" s="3" customFormat="1" ht="12.2" customHeight="1" x14ac:dyDescent="0.15">
      <c r="A326" s="1" t="s">
        <v>448</v>
      </c>
      <c r="B326" s="2" t="s">
        <v>359</v>
      </c>
      <c r="C326" s="2" t="s">
        <v>300</v>
      </c>
      <c r="D326" s="2" t="s">
        <v>431</v>
      </c>
      <c r="E326" s="6">
        <v>2700</v>
      </c>
      <c r="F326" s="18">
        <v>0</v>
      </c>
      <c r="G326" s="18">
        <v>0</v>
      </c>
      <c r="H326" s="18">
        <v>0</v>
      </c>
      <c r="I326" s="18">
        <v>0</v>
      </c>
      <c r="J326" s="18">
        <v>0</v>
      </c>
      <c r="K326" s="18">
        <v>0</v>
      </c>
      <c r="L326" s="13">
        <f t="shared" si="16"/>
        <v>0</v>
      </c>
      <c r="M326" s="8"/>
      <c r="N326" s="164"/>
    </row>
    <row r="327" spans="1:14" s="3" customFormat="1" ht="12.2" customHeight="1" x14ac:dyDescent="0.15">
      <c r="A327" s="1" t="s">
        <v>449</v>
      </c>
      <c r="B327" s="2" t="s">
        <v>359</v>
      </c>
      <c r="C327" s="2" t="s">
        <v>343</v>
      </c>
      <c r="D327" s="2" t="s">
        <v>431</v>
      </c>
      <c r="E327" s="6">
        <v>2800</v>
      </c>
      <c r="F327" s="18">
        <v>0</v>
      </c>
      <c r="G327" s="18">
        <v>0</v>
      </c>
      <c r="H327" s="18">
        <v>0</v>
      </c>
      <c r="I327" s="18">
        <v>0</v>
      </c>
      <c r="J327" s="18">
        <v>0</v>
      </c>
      <c r="K327" s="18">
        <v>0</v>
      </c>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14540.45</v>
      </c>
      <c r="G329" s="39">
        <f t="shared" si="17"/>
        <v>1715.6000000000001</v>
      </c>
      <c r="H329" s="39">
        <f t="shared" si="17"/>
        <v>57883.08</v>
      </c>
      <c r="I329" s="39">
        <f t="shared" si="17"/>
        <v>279.27</v>
      </c>
      <c r="J329" s="39">
        <f t="shared" si="17"/>
        <v>111186.49</v>
      </c>
      <c r="K329" s="39">
        <f t="shared" si="17"/>
        <v>107.25</v>
      </c>
      <c r="L329" s="38">
        <f t="shared" si="17"/>
        <v>185712.14</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v>0</v>
      </c>
      <c r="G333" s="18">
        <v>15021</v>
      </c>
      <c r="H333" s="18">
        <v>31708.35</v>
      </c>
      <c r="I333" s="18">
        <v>5238.79</v>
      </c>
      <c r="J333" s="18">
        <v>0</v>
      </c>
      <c r="K333" s="18">
        <v>0</v>
      </c>
      <c r="L333" s="13">
        <f t="shared" ref="L333:L338" si="18">SUM(F333:K333)</f>
        <v>51968.14</v>
      </c>
      <c r="M333" s="8"/>
      <c r="N333" s="164"/>
    </row>
    <row r="334" spans="1:14" s="3" customFormat="1" ht="12.2" customHeight="1" x14ac:dyDescent="0.15">
      <c r="A334" s="1" t="s">
        <v>353</v>
      </c>
      <c r="B334" s="6">
        <v>14</v>
      </c>
      <c r="C334" s="2" t="s">
        <v>309</v>
      </c>
      <c r="D334" s="2" t="s">
        <v>431</v>
      </c>
      <c r="E334" s="6">
        <v>1600</v>
      </c>
      <c r="F334" s="18">
        <v>0</v>
      </c>
      <c r="G334" s="18">
        <v>0</v>
      </c>
      <c r="H334" s="18">
        <v>0</v>
      </c>
      <c r="I334" s="18">
        <v>0</v>
      </c>
      <c r="J334" s="18">
        <v>0</v>
      </c>
      <c r="K334" s="18">
        <v>0</v>
      </c>
      <c r="L334" s="13">
        <f t="shared" si="18"/>
        <v>0</v>
      </c>
      <c r="M334" s="8"/>
      <c r="N334" s="164"/>
    </row>
    <row r="335" spans="1:14" s="3" customFormat="1" ht="12.2" customHeight="1" x14ac:dyDescent="0.15">
      <c r="A335" s="1" t="s">
        <v>582</v>
      </c>
      <c r="B335" s="6">
        <v>14</v>
      </c>
      <c r="C335" s="2" t="s">
        <v>315</v>
      </c>
      <c r="D335" s="2" t="s">
        <v>431</v>
      </c>
      <c r="E335" s="6">
        <v>1700</v>
      </c>
      <c r="F335" s="18">
        <v>0</v>
      </c>
      <c r="G335" s="18">
        <v>0</v>
      </c>
      <c r="H335" s="18">
        <v>0</v>
      </c>
      <c r="I335" s="18">
        <v>0</v>
      </c>
      <c r="J335" s="18">
        <v>0</v>
      </c>
      <c r="K335" s="18">
        <v>0</v>
      </c>
      <c r="L335" s="13">
        <f t="shared" si="18"/>
        <v>0</v>
      </c>
      <c r="M335" s="8"/>
      <c r="N335" s="164"/>
    </row>
    <row r="336" spans="1:14" s="3" customFormat="1" ht="12.2" customHeight="1" x14ac:dyDescent="0.15">
      <c r="A336" s="1" t="s">
        <v>583</v>
      </c>
      <c r="B336" s="6">
        <v>14</v>
      </c>
      <c r="C336" s="2" t="s">
        <v>321</v>
      </c>
      <c r="D336" s="2" t="s">
        <v>431</v>
      </c>
      <c r="E336" s="6">
        <v>1800</v>
      </c>
      <c r="F336" s="18">
        <v>0</v>
      </c>
      <c r="G336" s="18">
        <v>0</v>
      </c>
      <c r="H336" s="18">
        <v>0</v>
      </c>
      <c r="I336" s="18">
        <v>0</v>
      </c>
      <c r="J336" s="18">
        <v>0</v>
      </c>
      <c r="K336" s="18">
        <v>0</v>
      </c>
      <c r="L336" s="13">
        <f t="shared" si="18"/>
        <v>0</v>
      </c>
      <c r="M336" s="8"/>
      <c r="N336" s="164"/>
    </row>
    <row r="337" spans="1:43" s="3" customFormat="1" ht="12.2" customHeight="1" thickBot="1" x14ac:dyDescent="0.2">
      <c r="A337" s="1" t="s">
        <v>584</v>
      </c>
      <c r="B337" s="6">
        <v>14</v>
      </c>
      <c r="C337" s="6">
        <v>5</v>
      </c>
      <c r="D337" s="2" t="s">
        <v>431</v>
      </c>
      <c r="E337" s="6">
        <v>4000</v>
      </c>
      <c r="F337" s="18">
        <v>0</v>
      </c>
      <c r="G337" s="18">
        <v>0</v>
      </c>
      <c r="H337" s="18">
        <v>0</v>
      </c>
      <c r="I337" s="18">
        <v>0</v>
      </c>
      <c r="J337" s="18">
        <v>0</v>
      </c>
      <c r="K337" s="18">
        <v>0</v>
      </c>
      <c r="L337" s="13">
        <f t="shared" si="18"/>
        <v>0</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15021</v>
      </c>
      <c r="H338" s="38">
        <f t="shared" si="19"/>
        <v>31708.35</v>
      </c>
      <c r="I338" s="38">
        <f t="shared" si="19"/>
        <v>5238.79</v>
      </c>
      <c r="J338" s="38">
        <f t="shared" si="19"/>
        <v>0</v>
      </c>
      <c r="K338" s="38">
        <f t="shared" si="19"/>
        <v>0</v>
      </c>
      <c r="L338" s="38">
        <f t="shared" si="18"/>
        <v>51968.14</v>
      </c>
      <c r="M338" s="8"/>
      <c r="N338" s="164"/>
    </row>
    <row r="339" spans="1:43" s="3" customFormat="1" ht="12.2" customHeight="1" thickTop="1" x14ac:dyDescent="0.15">
      <c r="A339" s="35" t="s">
        <v>468</v>
      </c>
      <c r="B339" s="37">
        <v>14</v>
      </c>
      <c r="C339" s="37">
        <v>7</v>
      </c>
      <c r="D339" s="36" t="s">
        <v>431</v>
      </c>
      <c r="E339" s="37"/>
      <c r="F339" s="38">
        <f t="shared" ref="F339:L339" si="20">F291+F310+F329+F338</f>
        <v>161638.97</v>
      </c>
      <c r="G339" s="38">
        <f t="shared" si="20"/>
        <v>38494.79</v>
      </c>
      <c r="H339" s="38">
        <f t="shared" si="20"/>
        <v>224171.78</v>
      </c>
      <c r="I339" s="38">
        <f t="shared" si="20"/>
        <v>28134.41</v>
      </c>
      <c r="J339" s="38">
        <f t="shared" si="20"/>
        <v>206872.95</v>
      </c>
      <c r="K339" s="38">
        <f t="shared" si="20"/>
        <v>4816.67</v>
      </c>
      <c r="L339" s="38">
        <f t="shared" si="20"/>
        <v>664129.56999999995</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161638.97</v>
      </c>
      <c r="G353" s="38">
        <f>G339</f>
        <v>38494.79</v>
      </c>
      <c r="H353" s="38">
        <f>H339</f>
        <v>224171.78</v>
      </c>
      <c r="I353" s="38">
        <f>I339</f>
        <v>28134.41</v>
      </c>
      <c r="J353" s="38">
        <f>J339</f>
        <v>206872.95</v>
      </c>
      <c r="K353" s="38">
        <f>K339+K352</f>
        <v>4816.67</v>
      </c>
      <c r="L353" s="38">
        <f>L339+L352</f>
        <v>664129.56999999995</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v>66484.639999999999</v>
      </c>
      <c r="G359" s="18">
        <v>16355.36</v>
      </c>
      <c r="H359" s="18">
        <v>3585.29</v>
      </c>
      <c r="I359" s="18">
        <v>69699.03</v>
      </c>
      <c r="J359" s="18">
        <v>718.01</v>
      </c>
      <c r="K359" s="18">
        <v>900.14</v>
      </c>
      <c r="L359" s="13">
        <f>SUM(F359:K359)</f>
        <v>157742.47000000003</v>
      </c>
      <c r="M359" s="8"/>
      <c r="N359" s="164"/>
    </row>
    <row r="360" spans="1:22" s="3" customFormat="1" ht="12.2" customHeight="1" x14ac:dyDescent="0.15">
      <c r="A360" s="1" t="s">
        <v>542</v>
      </c>
      <c r="B360" s="2" t="s">
        <v>366</v>
      </c>
      <c r="C360" s="6">
        <v>2</v>
      </c>
      <c r="D360" s="2" t="s">
        <v>431</v>
      </c>
      <c r="E360" s="6"/>
      <c r="F360" s="18">
        <v>44626.66</v>
      </c>
      <c r="G360" s="18">
        <v>17797.77</v>
      </c>
      <c r="H360" s="18">
        <v>5406.59</v>
      </c>
      <c r="I360" s="18">
        <v>41788.06</v>
      </c>
      <c r="J360" s="18">
        <v>46.49</v>
      </c>
      <c r="K360" s="18">
        <v>508.15</v>
      </c>
      <c r="L360" s="13">
        <f>SUM(F360:K360)</f>
        <v>110173.72</v>
      </c>
      <c r="M360" s="8"/>
      <c r="N360" s="164"/>
    </row>
    <row r="361" spans="1:22" s="3" customFormat="1" ht="12.2" customHeight="1" x14ac:dyDescent="0.15">
      <c r="A361" s="3" t="s">
        <v>543</v>
      </c>
      <c r="B361" s="2" t="s">
        <v>366</v>
      </c>
      <c r="C361" s="6">
        <v>3</v>
      </c>
      <c r="D361" s="2" t="s">
        <v>431</v>
      </c>
      <c r="E361" s="6"/>
      <c r="F361" s="18">
        <v>45323.32</v>
      </c>
      <c r="G361" s="18">
        <v>17820.830000000002</v>
      </c>
      <c r="H361" s="18">
        <v>6199.38</v>
      </c>
      <c r="I361" s="18">
        <v>49397.65</v>
      </c>
      <c r="J361" s="18">
        <v>46.49</v>
      </c>
      <c r="K361" s="18">
        <v>515.66</v>
      </c>
      <c r="L361" s="13">
        <f>SUM(F361:K361)</f>
        <v>119303.33</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156434.62</v>
      </c>
      <c r="G363" s="38">
        <f t="shared" si="22"/>
        <v>51973.960000000006</v>
      </c>
      <c r="H363" s="38">
        <f t="shared" si="22"/>
        <v>15191.260000000002</v>
      </c>
      <c r="I363" s="38">
        <f t="shared" si="22"/>
        <v>160884.74</v>
      </c>
      <c r="J363" s="38">
        <f t="shared" si="22"/>
        <v>810.99</v>
      </c>
      <c r="K363" s="38">
        <f t="shared" si="22"/>
        <v>1923.9499999999998</v>
      </c>
      <c r="L363" s="38">
        <f t="shared" si="22"/>
        <v>387219.52000000008</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v>60583.58</v>
      </c>
      <c r="G368" s="18">
        <v>34010.71</v>
      </c>
      <c r="H368" s="18">
        <v>40429.410000000003</v>
      </c>
      <c r="I368" s="13">
        <f>SUM(F368:H368)</f>
        <v>135023.70000000001</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v>9115.4500000000007</v>
      </c>
      <c r="G369" s="53">
        <v>7777.35</v>
      </c>
      <c r="H369" s="53">
        <v>8968.24</v>
      </c>
      <c r="I369" s="13">
        <f>SUM(F369:H369)</f>
        <v>25861.040000000001</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69699.03</v>
      </c>
      <c r="G370" s="38">
        <f>SUM(G368:G369)</f>
        <v>41788.06</v>
      </c>
      <c r="H370" s="38">
        <f>SUM(H368:H369)</f>
        <v>49397.65</v>
      </c>
      <c r="I370" s="38">
        <f>SUM(I368:I369)</f>
        <v>160884.74000000002</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v>0</v>
      </c>
      <c r="G375" s="18">
        <v>0</v>
      </c>
      <c r="H375" s="18">
        <v>0</v>
      </c>
      <c r="I375" s="18">
        <v>0</v>
      </c>
      <c r="J375" s="18">
        <v>0</v>
      </c>
      <c r="K375" s="18">
        <v>0</v>
      </c>
      <c r="L375" s="13">
        <f>SUM(F375:K375)</f>
        <v>0</v>
      </c>
      <c r="M375" s="8"/>
      <c r="N375" s="164"/>
    </row>
    <row r="376" spans="1:14" s="3" customFormat="1" ht="12.2" customHeight="1" x14ac:dyDescent="0.15">
      <c r="A376" s="1" t="s">
        <v>545</v>
      </c>
      <c r="B376" s="2" t="s">
        <v>366</v>
      </c>
      <c r="C376" s="2" t="s">
        <v>299</v>
      </c>
      <c r="D376" s="2" t="s">
        <v>431</v>
      </c>
      <c r="E376" s="6">
        <v>4200</v>
      </c>
      <c r="F376" s="18">
        <v>0</v>
      </c>
      <c r="G376" s="18">
        <v>0</v>
      </c>
      <c r="H376" s="18">
        <v>0</v>
      </c>
      <c r="I376" s="18">
        <v>0</v>
      </c>
      <c r="J376" s="18">
        <v>0</v>
      </c>
      <c r="K376" s="18">
        <v>0</v>
      </c>
      <c r="L376" s="13">
        <f t="shared" ref="L376:L382" si="23">SUM(F376:K376)</f>
        <v>0</v>
      </c>
      <c r="M376" s="8"/>
      <c r="N376" s="164"/>
    </row>
    <row r="377" spans="1:14" s="3" customFormat="1" ht="12.2" customHeight="1" x14ac:dyDescent="0.15">
      <c r="A377" s="1" t="s">
        <v>546</v>
      </c>
      <c r="B377" s="2" t="s">
        <v>366</v>
      </c>
      <c r="C377" s="2" t="s">
        <v>300</v>
      </c>
      <c r="D377" s="2" t="s">
        <v>431</v>
      </c>
      <c r="E377" s="6">
        <v>4300</v>
      </c>
      <c r="F377" s="18">
        <v>0</v>
      </c>
      <c r="G377" s="18">
        <v>0</v>
      </c>
      <c r="H377" s="18">
        <v>0</v>
      </c>
      <c r="I377" s="18">
        <v>0</v>
      </c>
      <c r="J377" s="18">
        <v>0</v>
      </c>
      <c r="K377" s="18">
        <v>0</v>
      </c>
      <c r="L377" s="13">
        <f t="shared" si="23"/>
        <v>0</v>
      </c>
      <c r="M377" s="8"/>
      <c r="N377" s="164"/>
    </row>
    <row r="378" spans="1:14" s="3" customFormat="1" ht="12.2" customHeight="1" x14ac:dyDescent="0.15">
      <c r="A378" s="1" t="s">
        <v>547</v>
      </c>
      <c r="B378" s="2" t="s">
        <v>366</v>
      </c>
      <c r="C378" s="2" t="s">
        <v>343</v>
      </c>
      <c r="D378" s="2" t="s">
        <v>431</v>
      </c>
      <c r="E378" s="6">
        <v>4400</v>
      </c>
      <c r="F378" s="18">
        <v>0</v>
      </c>
      <c r="G378" s="18">
        <v>0</v>
      </c>
      <c r="H378" s="18">
        <v>0</v>
      </c>
      <c r="I378" s="18">
        <v>0</v>
      </c>
      <c r="J378" s="18">
        <v>0</v>
      </c>
      <c r="K378" s="18">
        <v>0</v>
      </c>
      <c r="L378" s="13">
        <f t="shared" si="23"/>
        <v>0</v>
      </c>
      <c r="M378" s="8"/>
      <c r="N378" s="164"/>
    </row>
    <row r="379" spans="1:14" s="3" customFormat="1" ht="12.2" customHeight="1" x14ac:dyDescent="0.15">
      <c r="A379" s="1" t="s">
        <v>548</v>
      </c>
      <c r="B379" s="2" t="s">
        <v>366</v>
      </c>
      <c r="C379" s="2" t="s">
        <v>344</v>
      </c>
      <c r="D379" s="2" t="s">
        <v>431</v>
      </c>
      <c r="E379" s="6">
        <v>4500</v>
      </c>
      <c r="F379" s="18">
        <v>0</v>
      </c>
      <c r="G379" s="18">
        <v>0</v>
      </c>
      <c r="H379" s="18">
        <v>0</v>
      </c>
      <c r="I379" s="18">
        <v>0</v>
      </c>
      <c r="J379" s="18">
        <v>0</v>
      </c>
      <c r="K379" s="18">
        <v>0</v>
      </c>
      <c r="L379" s="13">
        <f t="shared" si="23"/>
        <v>0</v>
      </c>
      <c r="M379" s="8"/>
      <c r="N379" s="164"/>
    </row>
    <row r="380" spans="1:14" s="3" customFormat="1" ht="12.2" customHeight="1" x14ac:dyDescent="0.15">
      <c r="A380" s="1" t="s">
        <v>549</v>
      </c>
      <c r="B380" s="2" t="s">
        <v>366</v>
      </c>
      <c r="C380" s="2" t="s">
        <v>345</v>
      </c>
      <c r="D380" s="2" t="s">
        <v>431</v>
      </c>
      <c r="E380" s="6">
        <v>4600</v>
      </c>
      <c r="F380" s="18">
        <v>0</v>
      </c>
      <c r="G380" s="18">
        <v>0</v>
      </c>
      <c r="H380" s="18">
        <v>0</v>
      </c>
      <c r="I380" s="18">
        <v>0</v>
      </c>
      <c r="J380" s="18">
        <v>0</v>
      </c>
      <c r="K380" s="18">
        <v>0</v>
      </c>
      <c r="L380" s="13">
        <f t="shared" si="23"/>
        <v>0</v>
      </c>
      <c r="M380" s="8"/>
      <c r="N380" s="164"/>
    </row>
    <row r="381" spans="1:14" s="3" customFormat="1" ht="12.2" customHeight="1" x14ac:dyDescent="0.15">
      <c r="A381" s="1" t="s">
        <v>510</v>
      </c>
      <c r="B381" s="2" t="s">
        <v>366</v>
      </c>
      <c r="C381" s="2" t="s">
        <v>347</v>
      </c>
      <c r="D381" s="2" t="s">
        <v>431</v>
      </c>
      <c r="E381" s="6">
        <v>4900</v>
      </c>
      <c r="F381" s="18">
        <v>0</v>
      </c>
      <c r="G381" s="18">
        <v>0</v>
      </c>
      <c r="H381" s="18">
        <v>0</v>
      </c>
      <c r="I381" s="18">
        <v>0</v>
      </c>
      <c r="J381" s="18">
        <v>0</v>
      </c>
      <c r="K381" s="18">
        <v>0</v>
      </c>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v>0</v>
      </c>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v>0</v>
      </c>
      <c r="G388" s="18">
        <v>0</v>
      </c>
      <c r="H388" s="18">
        <v>0</v>
      </c>
      <c r="I388" s="18">
        <v>0</v>
      </c>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v>0</v>
      </c>
      <c r="G389" s="18">
        <v>0</v>
      </c>
      <c r="H389" s="18">
        <v>0</v>
      </c>
      <c r="I389" s="18">
        <v>0</v>
      </c>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v>0</v>
      </c>
      <c r="G390" s="18">
        <v>0</v>
      </c>
      <c r="H390" s="18">
        <v>0</v>
      </c>
      <c r="I390" s="18">
        <v>0</v>
      </c>
      <c r="J390" s="23" t="s">
        <v>288</v>
      </c>
      <c r="K390" s="23" t="s">
        <v>288</v>
      </c>
      <c r="L390" s="13">
        <f t="shared" si="25"/>
        <v>0</v>
      </c>
      <c r="M390" s="8"/>
      <c r="N390" s="164"/>
    </row>
    <row r="391" spans="1:14" s="3" customFormat="1" ht="12.2" customHeight="1" x14ac:dyDescent="0.15">
      <c r="A391" s="62" t="s">
        <v>553</v>
      </c>
      <c r="B391" s="2" t="s">
        <v>381</v>
      </c>
      <c r="C391" s="6">
        <v>4</v>
      </c>
      <c r="D391" s="2" t="s">
        <v>432</v>
      </c>
      <c r="E391" s="6"/>
      <c r="F391" s="18">
        <v>0</v>
      </c>
      <c r="G391" s="18">
        <v>0</v>
      </c>
      <c r="H391" s="18">
        <v>0</v>
      </c>
      <c r="I391" s="18">
        <v>0</v>
      </c>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v>0</v>
      </c>
      <c r="G392" s="18">
        <v>0</v>
      </c>
      <c r="H392" s="18">
        <v>0</v>
      </c>
      <c r="I392" s="18">
        <v>0</v>
      </c>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v>0</v>
      </c>
      <c r="G393" s="18">
        <v>0</v>
      </c>
      <c r="H393" s="18">
        <v>0</v>
      </c>
      <c r="I393" s="18">
        <v>0</v>
      </c>
      <c r="J393" s="23" t="s">
        <v>288</v>
      </c>
      <c r="K393" s="23" t="s">
        <v>288</v>
      </c>
      <c r="L393" s="13">
        <f t="shared" si="25"/>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v>0</v>
      </c>
      <c r="G396" s="18">
        <v>0</v>
      </c>
      <c r="H396" s="18">
        <v>0</v>
      </c>
      <c r="I396" s="18">
        <v>0</v>
      </c>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v>190000</v>
      </c>
      <c r="H397" s="18">
        <v>11579.74</v>
      </c>
      <c r="I397" s="18"/>
      <c r="J397" s="23" t="s">
        <v>288</v>
      </c>
      <c r="K397" s="23" t="s">
        <v>288</v>
      </c>
      <c r="L397" s="13">
        <f t="shared" si="26"/>
        <v>201579.74</v>
      </c>
      <c r="M397" s="8"/>
      <c r="N397" s="164"/>
    </row>
    <row r="398" spans="1:14" s="3" customFormat="1" ht="12.2" customHeight="1" x14ac:dyDescent="0.15">
      <c r="A398" s="62" t="s">
        <v>515</v>
      </c>
      <c r="B398" s="2" t="s">
        <v>381</v>
      </c>
      <c r="C398" s="6">
        <v>10</v>
      </c>
      <c r="D398" s="2" t="s">
        <v>432</v>
      </c>
      <c r="E398" s="6"/>
      <c r="F398" s="18"/>
      <c r="G398" s="18">
        <v>0</v>
      </c>
      <c r="H398" s="18">
        <v>17762.37</v>
      </c>
      <c r="I398" s="18"/>
      <c r="J398" s="23" t="s">
        <v>288</v>
      </c>
      <c r="K398" s="23" t="s">
        <v>288</v>
      </c>
      <c r="L398" s="13">
        <f t="shared" si="26"/>
        <v>17762.37</v>
      </c>
      <c r="M398" s="8"/>
      <c r="N398" s="164"/>
    </row>
    <row r="399" spans="1:14" s="3" customFormat="1" ht="12.2" customHeight="1" x14ac:dyDescent="0.15">
      <c r="A399" s="62" t="s">
        <v>558</v>
      </c>
      <c r="B399" s="2" t="s">
        <v>381</v>
      </c>
      <c r="C399" s="6">
        <v>11</v>
      </c>
      <c r="D399" s="2" t="s">
        <v>432</v>
      </c>
      <c r="E399" s="6"/>
      <c r="F399" s="18"/>
      <c r="G399" s="18">
        <v>0</v>
      </c>
      <c r="H399" s="18">
        <v>1000.12</v>
      </c>
      <c r="I399" s="18"/>
      <c r="J399" s="23" t="s">
        <v>288</v>
      </c>
      <c r="K399" s="23" t="s">
        <v>288</v>
      </c>
      <c r="L399" s="13">
        <f t="shared" si="26"/>
        <v>1000.12</v>
      </c>
      <c r="M399" s="8"/>
      <c r="N399" s="164"/>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4"/>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190000</v>
      </c>
      <c r="H402" s="38">
        <f>SUM(H396:H401)</f>
        <v>30342.23</v>
      </c>
      <c r="I402" s="38">
        <f>SUM(I396:I401)</f>
        <v>0</v>
      </c>
      <c r="J402" s="42" t="s">
        <v>288</v>
      </c>
      <c r="K402" s="42" t="s">
        <v>288</v>
      </c>
      <c r="L402" s="38">
        <f>SUM(L396:L401)</f>
        <v>220342.22999999998</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190000</v>
      </c>
      <c r="H409" s="38">
        <f>H394+H402+H408</f>
        <v>30342.23</v>
      </c>
      <c r="I409" s="38">
        <f>I394+I402+I408</f>
        <v>0</v>
      </c>
      <c r="J409" s="23" t="s">
        <v>288</v>
      </c>
      <c r="K409" s="23" t="s">
        <v>288</v>
      </c>
      <c r="L409" s="38">
        <f>L394+L402+L408</f>
        <v>220342.22999999998</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v>91670</v>
      </c>
      <c r="I416" s="18"/>
      <c r="J416" s="18"/>
      <c r="K416" s="18"/>
      <c r="L416" s="13">
        <f t="shared" si="27"/>
        <v>91670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91670</v>
      </c>
      <c r="I420" s="97">
        <f t="shared" si="28"/>
        <v>0</v>
      </c>
      <c r="J420" s="97">
        <f t="shared" si="28"/>
        <v>0</v>
      </c>
      <c r="K420" s="97">
        <f t="shared" si="28"/>
        <v>0</v>
      </c>
      <c r="L420" s="38">
        <f t="shared" si="28"/>
        <v>91670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91670</v>
      </c>
      <c r="I435" s="38">
        <f t="shared" si="32"/>
        <v>0</v>
      </c>
      <c r="J435" s="38">
        <f t="shared" si="32"/>
        <v>0</v>
      </c>
      <c r="K435" s="38">
        <f t="shared" si="32"/>
        <v>0</v>
      </c>
      <c r="L435" s="38">
        <f t="shared" si="32"/>
        <v>91670</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v>673005.52</v>
      </c>
      <c r="G440" s="18"/>
      <c r="H440" s="18"/>
      <c r="I440" s="13">
        <f t="shared" ref="I440:I446" si="33">SUM(F440:H440)</f>
        <v>673005.52</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673005.52</v>
      </c>
      <c r="G447" s="13">
        <f>SUM(G440:G446)</f>
        <v>0</v>
      </c>
      <c r="H447" s="13">
        <f>SUM(H440:H446)</f>
        <v>0</v>
      </c>
      <c r="I447" s="13">
        <f>SUM(I440:I446)</f>
        <v>673005.52</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v>673005.52</v>
      </c>
      <c r="G458" s="18"/>
      <c r="H458" s="18"/>
      <c r="I458" s="13">
        <f t="shared" si="34"/>
        <v>673005.52</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c r="H460" s="18"/>
      <c r="I460" s="13">
        <f t="shared" si="34"/>
        <v>0</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673005.52</v>
      </c>
      <c r="G461" s="65">
        <f>SUM(G455:G460)</f>
        <v>0</v>
      </c>
      <c r="H461" s="65">
        <f>SUM(H455:H460)</f>
        <v>0</v>
      </c>
      <c r="I461" s="65">
        <f>SUM(I455:I460)</f>
        <v>673005.52</v>
      </c>
      <c r="J461" s="23" t="s">
        <v>288</v>
      </c>
      <c r="K461" s="23" t="s">
        <v>288</v>
      </c>
      <c r="L461" s="23" t="s">
        <v>288</v>
      </c>
      <c r="N461" s="130"/>
    </row>
    <row r="462" spans="1:86" ht="12.2" customHeight="1" thickTop="1" x14ac:dyDescent="0.2">
      <c r="A462" s="40" t="s">
        <v>424</v>
      </c>
      <c r="B462" s="41">
        <v>18</v>
      </c>
      <c r="C462" s="64">
        <v>21</v>
      </c>
      <c r="D462" s="114" t="s">
        <v>432</v>
      </c>
      <c r="E462" s="64"/>
      <c r="F462" s="39">
        <f>F453+F461</f>
        <v>673005.52</v>
      </c>
      <c r="G462" s="39">
        <f>G453+G461</f>
        <v>0</v>
      </c>
      <c r="H462" s="39">
        <f>H453+H461</f>
        <v>0</v>
      </c>
      <c r="I462" s="39">
        <f>I453+I461</f>
        <v>673005.52</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653823.99</v>
      </c>
      <c r="G466" s="18">
        <v>23431.73</v>
      </c>
      <c r="H466" s="18">
        <v>113214.18</v>
      </c>
      <c r="I466" s="18">
        <v>0</v>
      </c>
      <c r="J466" s="18">
        <v>544333.29</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v>12919331.189999999</v>
      </c>
      <c r="G469" s="18">
        <v>179678.22</v>
      </c>
      <c r="H469" s="18">
        <v>608634.63</v>
      </c>
      <c r="I469" s="18"/>
      <c r="J469" s="18">
        <v>220342.23</v>
      </c>
      <c r="K469" s="23" t="s">
        <v>288</v>
      </c>
      <c r="L469" s="23" t="s">
        <v>288</v>
      </c>
      <c r="N469" s="130"/>
    </row>
    <row r="470" spans="1:14" ht="12.2" customHeight="1" x14ac:dyDescent="0.2">
      <c r="A470" s="71" t="s">
        <v>611</v>
      </c>
      <c r="B470" s="22">
        <v>19</v>
      </c>
      <c r="C470" s="31">
        <v>3</v>
      </c>
      <c r="D470" s="2" t="s">
        <v>432</v>
      </c>
      <c r="E470" s="31"/>
      <c r="F470" s="18"/>
      <c r="G470" s="18">
        <v>159.9</v>
      </c>
      <c r="H470" s="18"/>
      <c r="I470" s="18"/>
      <c r="J470" s="18">
        <v>0</v>
      </c>
      <c r="K470" s="23" t="s">
        <v>288</v>
      </c>
      <c r="L470" s="23" t="s">
        <v>288</v>
      </c>
      <c r="N470" s="130"/>
    </row>
    <row r="471" spans="1:14" ht="12.2" customHeight="1" x14ac:dyDescent="0.2">
      <c r="A471" s="32" t="s">
        <v>425</v>
      </c>
      <c r="B471" s="22">
        <v>19</v>
      </c>
      <c r="C471" s="31">
        <v>4</v>
      </c>
      <c r="D471" s="2" t="s">
        <v>432</v>
      </c>
      <c r="E471" s="31"/>
      <c r="F471" s="19">
        <f>SUM(F469:F470)</f>
        <v>12919331.189999999</v>
      </c>
      <c r="G471" s="19">
        <f>SUM(G469:G470)</f>
        <v>179838.12</v>
      </c>
      <c r="H471" s="19">
        <f>SUM(H469:H470)</f>
        <v>608634.63</v>
      </c>
      <c r="I471" s="19">
        <f>SUM(I469:I470)</f>
        <v>0</v>
      </c>
      <c r="J471" s="19">
        <f>SUM(J469:J470)</f>
        <v>220342.23</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v>13223370.08</v>
      </c>
      <c r="G473" s="18">
        <v>387219.52</v>
      </c>
      <c r="H473" s="18">
        <v>664129.56999999995</v>
      </c>
      <c r="I473" s="18"/>
      <c r="J473" s="18">
        <v>91670</v>
      </c>
      <c r="K473" s="23" t="s">
        <v>288</v>
      </c>
      <c r="L473" s="23" t="s">
        <v>288</v>
      </c>
      <c r="N473" s="130"/>
    </row>
    <row r="474" spans="1:14" ht="12.2" customHeight="1" x14ac:dyDescent="0.2">
      <c r="A474" s="71" t="s">
        <v>613</v>
      </c>
      <c r="B474" s="22">
        <v>19</v>
      </c>
      <c r="C474" s="31">
        <v>6</v>
      </c>
      <c r="D474" s="2" t="s">
        <v>432</v>
      </c>
      <c r="E474" s="31"/>
      <c r="F474" s="18">
        <v>258.08</v>
      </c>
      <c r="G474" s="18"/>
      <c r="H474" s="18">
        <v>8581.4</v>
      </c>
      <c r="I474" s="18"/>
      <c r="J474" s="18"/>
      <c r="K474" s="23" t="s">
        <v>288</v>
      </c>
      <c r="L474" s="23" t="s">
        <v>288</v>
      </c>
      <c r="N474" s="130"/>
    </row>
    <row r="475" spans="1:14" ht="12.2" customHeight="1" x14ac:dyDescent="0.2">
      <c r="A475" s="32" t="s">
        <v>426</v>
      </c>
      <c r="B475" s="22">
        <v>19</v>
      </c>
      <c r="C475" s="31">
        <v>7</v>
      </c>
      <c r="D475" s="2" t="s">
        <v>432</v>
      </c>
      <c r="E475" s="31"/>
      <c r="F475" s="19">
        <f>SUM(F473:F474)</f>
        <v>13223628.16</v>
      </c>
      <c r="G475" s="19">
        <f>SUM(G473:G474)</f>
        <v>387219.52</v>
      </c>
      <c r="H475" s="19">
        <f>SUM(H473:H474)</f>
        <v>672710.97</v>
      </c>
      <c r="I475" s="19">
        <f>SUM(I473:I474)</f>
        <v>0</v>
      </c>
      <c r="J475" s="19">
        <f>SUM(J473:J474)</f>
        <v>91670</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349527.01999999955</v>
      </c>
      <c r="G477" s="19">
        <f>(G466+G471)- G475</f>
        <v>-183949.67</v>
      </c>
      <c r="H477" s="19">
        <f>(H466+H471)- H475</f>
        <v>49137.840000000084</v>
      </c>
      <c r="I477" s="19">
        <f>(I466+I471)- I475</f>
        <v>0</v>
      </c>
      <c r="J477" s="19">
        <f>(J466+J471)- J475</f>
        <v>673005.52</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55" t="s">
        <v>1844</v>
      </c>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t="s">
        <v>1843</v>
      </c>
      <c r="B484" s="73"/>
      <c r="C484" s="73"/>
      <c r="D484" s="73"/>
      <c r="E484" s="73"/>
      <c r="F484" s="73"/>
      <c r="G484" s="73"/>
      <c r="H484" s="73"/>
      <c r="I484" s="73" t="s">
        <v>18</v>
      </c>
      <c r="J484" s="73"/>
      <c r="K484" s="73"/>
      <c r="L484" s="73"/>
      <c r="N484" s="130"/>
    </row>
    <row r="485" spans="1:14" ht="12.2" customHeight="1" x14ac:dyDescent="0.2">
      <c r="A485" s="55" t="s">
        <v>1845</v>
      </c>
      <c r="B485" s="73"/>
      <c r="C485" s="73"/>
      <c r="D485" s="73"/>
      <c r="E485" s="73"/>
      <c r="F485" s="73"/>
      <c r="G485" s="73"/>
      <c r="H485" s="73"/>
      <c r="I485" s="73" t="s">
        <v>474</v>
      </c>
      <c r="J485" s="73"/>
      <c r="K485" s="73"/>
      <c r="L485" s="73"/>
      <c r="N485" s="130"/>
    </row>
    <row r="486" spans="1:14" ht="12.2" customHeight="1" x14ac:dyDescent="0.2">
      <c r="A486" s="20"/>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v>20</v>
      </c>
      <c r="G491" s="111"/>
      <c r="H491" s="111"/>
      <c r="I491" s="111"/>
      <c r="J491" s="111"/>
      <c r="K491" s="23" t="s">
        <v>288</v>
      </c>
      <c r="L491" s="23" t="s">
        <v>288</v>
      </c>
      <c r="N491" s="130"/>
    </row>
    <row r="492" spans="1:14" ht="12.2" customHeight="1" x14ac:dyDescent="0.2">
      <c r="A492" s="21" t="s">
        <v>615</v>
      </c>
      <c r="B492" s="22">
        <v>20</v>
      </c>
      <c r="C492" s="22">
        <v>2</v>
      </c>
      <c r="D492" s="2" t="s">
        <v>432</v>
      </c>
      <c r="E492" s="22"/>
      <c r="F492" s="112" t="s">
        <v>1841</v>
      </c>
      <c r="G492" s="112"/>
      <c r="H492" s="111"/>
      <c r="I492" s="111"/>
      <c r="J492" s="111"/>
      <c r="K492" s="23" t="s">
        <v>288</v>
      </c>
      <c r="L492" s="23" t="s">
        <v>288</v>
      </c>
      <c r="N492" s="130"/>
    </row>
    <row r="493" spans="1:14" ht="12.2" customHeight="1" x14ac:dyDescent="0.2">
      <c r="A493" s="21" t="s">
        <v>616</v>
      </c>
      <c r="B493" s="22">
        <v>20</v>
      </c>
      <c r="C493" s="22">
        <v>3</v>
      </c>
      <c r="D493" s="2" t="s">
        <v>432</v>
      </c>
      <c r="E493" s="22"/>
      <c r="F493" s="112" t="s">
        <v>1842</v>
      </c>
      <c r="G493" s="112"/>
      <c r="H493" s="111"/>
      <c r="I493" s="111"/>
      <c r="J493" s="111"/>
      <c r="K493" s="23" t="s">
        <v>288</v>
      </c>
      <c r="L493" s="23" t="s">
        <v>288</v>
      </c>
      <c r="N493" s="130"/>
    </row>
    <row r="494" spans="1:14" ht="12.2" customHeight="1" x14ac:dyDescent="0.2">
      <c r="A494" s="21" t="s">
        <v>617</v>
      </c>
      <c r="B494" s="22">
        <v>20</v>
      </c>
      <c r="C494" s="22">
        <v>4</v>
      </c>
      <c r="D494" s="2" t="s">
        <v>432</v>
      </c>
      <c r="E494" s="22"/>
      <c r="F494" s="18">
        <v>7640000</v>
      </c>
      <c r="G494" s="18"/>
      <c r="H494" s="18"/>
      <c r="I494" s="18"/>
      <c r="J494" s="18"/>
      <c r="K494" s="23" t="s">
        <v>288</v>
      </c>
      <c r="L494" s="23" t="s">
        <v>288</v>
      </c>
      <c r="N494" s="130"/>
    </row>
    <row r="495" spans="1:14" ht="12.2" customHeight="1" x14ac:dyDescent="0.2">
      <c r="A495" s="21" t="s">
        <v>618</v>
      </c>
      <c r="B495" s="22">
        <v>20</v>
      </c>
      <c r="C495" s="22">
        <v>5</v>
      </c>
      <c r="D495" s="2" t="s">
        <v>432</v>
      </c>
      <c r="E495" s="22"/>
      <c r="F495" s="18">
        <v>5.0999999999999996</v>
      </c>
      <c r="G495" s="18"/>
      <c r="H495" s="18"/>
      <c r="I495" s="18"/>
      <c r="J495" s="18"/>
      <c r="K495" s="23" t="s">
        <v>288</v>
      </c>
      <c r="L495" s="23" t="s">
        <v>288</v>
      </c>
      <c r="N495" s="130"/>
    </row>
    <row r="496" spans="1:14" ht="12.2" customHeight="1" x14ac:dyDescent="0.2">
      <c r="A496" s="21" t="s">
        <v>619</v>
      </c>
      <c r="B496" s="22">
        <v>20</v>
      </c>
      <c r="C496" s="22">
        <v>6</v>
      </c>
      <c r="D496" s="2" t="s">
        <v>432</v>
      </c>
      <c r="E496" s="22"/>
      <c r="F496" s="18">
        <v>5730000</v>
      </c>
      <c r="G496" s="18"/>
      <c r="H496" s="18"/>
      <c r="I496" s="18"/>
      <c r="J496" s="18"/>
      <c r="K496" s="19">
        <f>SUM(F496:J496)</f>
        <v>5730000</v>
      </c>
      <c r="L496" s="23" t="s">
        <v>288</v>
      </c>
      <c r="N496" s="130"/>
    </row>
    <row r="497" spans="1:14" ht="12.2" customHeight="1" x14ac:dyDescent="0.2">
      <c r="A497" s="21" t="s">
        <v>620</v>
      </c>
      <c r="B497" s="22">
        <v>20</v>
      </c>
      <c r="C497" s="22">
        <v>7</v>
      </c>
      <c r="D497" s="2" t="s">
        <v>432</v>
      </c>
      <c r="E497" s="22"/>
      <c r="F497" s="18">
        <v>0</v>
      </c>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v>380000</v>
      </c>
      <c r="G498" s="18"/>
      <c r="H498" s="18"/>
      <c r="I498" s="18"/>
      <c r="J498" s="18"/>
      <c r="K498" s="19">
        <f t="shared" si="35"/>
        <v>380000</v>
      </c>
      <c r="L498" s="23" t="s">
        <v>288</v>
      </c>
      <c r="N498" s="130"/>
    </row>
    <row r="499" spans="1:14" ht="12.2" customHeight="1" x14ac:dyDescent="0.2">
      <c r="A499" s="143" t="s">
        <v>622</v>
      </c>
      <c r="B499" s="144">
        <v>20</v>
      </c>
      <c r="C499" s="144">
        <v>9</v>
      </c>
      <c r="D499" s="145" t="s">
        <v>432</v>
      </c>
      <c r="E499" s="144"/>
      <c r="F499" s="146">
        <v>5350000</v>
      </c>
      <c r="G499" s="146"/>
      <c r="H499" s="146"/>
      <c r="I499" s="146"/>
      <c r="J499" s="146"/>
      <c r="K499" s="147">
        <f t="shared" si="35"/>
        <v>5350000</v>
      </c>
      <c r="L499" s="148" t="s">
        <v>288</v>
      </c>
      <c r="N499" s="130"/>
    </row>
    <row r="500" spans="1:14" ht="12.2" customHeight="1" thickBot="1" x14ac:dyDescent="0.25">
      <c r="A500" s="21" t="s">
        <v>623</v>
      </c>
      <c r="B500" s="22">
        <v>20</v>
      </c>
      <c r="C500" s="22">
        <v>10</v>
      </c>
      <c r="D500" s="2" t="s">
        <v>432</v>
      </c>
      <c r="E500" s="22"/>
      <c r="F500" s="18">
        <v>1062035</v>
      </c>
      <c r="G500" s="18"/>
      <c r="H500" s="18"/>
      <c r="I500" s="18"/>
      <c r="J500" s="18"/>
      <c r="K500" s="19">
        <f t="shared" si="35"/>
        <v>1062035</v>
      </c>
      <c r="L500" s="23" t="s">
        <v>288</v>
      </c>
      <c r="N500" s="130"/>
    </row>
    <row r="501" spans="1:14" ht="12.2" customHeight="1" thickTop="1" x14ac:dyDescent="0.2">
      <c r="A501" s="97" t="s">
        <v>624</v>
      </c>
      <c r="B501" s="41">
        <v>20</v>
      </c>
      <c r="C501" s="41">
        <v>11</v>
      </c>
      <c r="D501" s="36" t="s">
        <v>432</v>
      </c>
      <c r="E501" s="41"/>
      <c r="F501" s="39">
        <f>SUM(F499:F500)</f>
        <v>6412035</v>
      </c>
      <c r="G501" s="39">
        <f>SUM(G499:G500)</f>
        <v>0</v>
      </c>
      <c r="H501" s="39">
        <f>SUM(H499:H500)</f>
        <v>0</v>
      </c>
      <c r="I501" s="39">
        <f>SUM(I499:I500)</f>
        <v>0</v>
      </c>
      <c r="J501" s="39">
        <f>SUM(J499:J500)</f>
        <v>0</v>
      </c>
      <c r="K501" s="39">
        <f t="shared" si="35"/>
        <v>6412035</v>
      </c>
      <c r="L501" s="42" t="s">
        <v>288</v>
      </c>
      <c r="N501" s="130"/>
    </row>
    <row r="502" spans="1:14" ht="12.2" customHeight="1" x14ac:dyDescent="0.2">
      <c r="A502" s="143" t="s">
        <v>651</v>
      </c>
      <c r="B502" s="144">
        <v>20</v>
      </c>
      <c r="C502" s="144">
        <v>12</v>
      </c>
      <c r="D502" s="145" t="s">
        <v>432</v>
      </c>
      <c r="E502" s="144"/>
      <c r="F502" s="146">
        <v>400000</v>
      </c>
      <c r="G502" s="146"/>
      <c r="H502" s="146"/>
      <c r="I502" s="146"/>
      <c r="J502" s="146"/>
      <c r="K502" s="147">
        <f t="shared" si="35"/>
        <v>400000</v>
      </c>
      <c r="L502" s="148" t="s">
        <v>288</v>
      </c>
      <c r="N502" s="130"/>
    </row>
    <row r="503" spans="1:14" ht="12.2" customHeight="1" thickBot="1" x14ac:dyDescent="0.25">
      <c r="A503" s="21" t="s">
        <v>625</v>
      </c>
      <c r="B503" s="22">
        <v>20</v>
      </c>
      <c r="C503" s="22">
        <v>13</v>
      </c>
      <c r="D503" s="2" t="s">
        <v>432</v>
      </c>
      <c r="E503" s="22"/>
      <c r="F503" s="18">
        <v>204700</v>
      </c>
      <c r="G503" s="18"/>
      <c r="H503" s="18"/>
      <c r="I503" s="18"/>
      <c r="J503" s="18"/>
      <c r="K503" s="19">
        <f t="shared" si="35"/>
        <v>204700</v>
      </c>
      <c r="L503" s="23" t="s">
        <v>288</v>
      </c>
      <c r="N503" s="130"/>
    </row>
    <row r="504" spans="1:14" ht="12.2" customHeight="1" thickTop="1" x14ac:dyDescent="0.2">
      <c r="A504" s="97" t="s">
        <v>626</v>
      </c>
      <c r="B504" s="41">
        <v>20</v>
      </c>
      <c r="C504" s="41">
        <v>14</v>
      </c>
      <c r="D504" s="36" t="s">
        <v>432</v>
      </c>
      <c r="E504" s="41"/>
      <c r="F504" s="39">
        <f>SUM(F502:F503)</f>
        <v>604700</v>
      </c>
      <c r="G504" s="39">
        <f>SUM(G502:G503)</f>
        <v>0</v>
      </c>
      <c r="H504" s="39">
        <f>SUM(H502:H503)</f>
        <v>0</v>
      </c>
      <c r="I504" s="39">
        <f>SUM(I502:I503)</f>
        <v>0</v>
      </c>
      <c r="J504" s="39">
        <f>SUM(J502:J503)</f>
        <v>0</v>
      </c>
      <c r="K504" s="39">
        <f t="shared" si="35"/>
        <v>604700</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v>310934.42</v>
      </c>
      <c r="G522" s="18">
        <v>125041.08</v>
      </c>
      <c r="H522" s="18">
        <v>190185.9</v>
      </c>
      <c r="I522" s="18">
        <v>14712.92</v>
      </c>
      <c r="J522" s="18">
        <v>3439.46</v>
      </c>
      <c r="K522" s="18">
        <v>1192.31</v>
      </c>
      <c r="L522" s="69">
        <f>SUM(F522:K522)</f>
        <v>645506.09000000008</v>
      </c>
      <c r="N522" s="130"/>
    </row>
    <row r="523" spans="1:14" ht="12.2" customHeight="1" x14ac:dyDescent="0.2">
      <c r="A523" s="21" t="s">
        <v>634</v>
      </c>
      <c r="B523" s="22">
        <v>21</v>
      </c>
      <c r="C523" s="22">
        <v>2</v>
      </c>
      <c r="D523" s="2" t="s">
        <v>432</v>
      </c>
      <c r="E523" s="22"/>
      <c r="F523" s="18">
        <v>214775.95</v>
      </c>
      <c r="G523" s="18">
        <v>72847.11</v>
      </c>
      <c r="H523" s="18">
        <v>0</v>
      </c>
      <c r="I523" s="18">
        <v>6321.06</v>
      </c>
      <c r="J523" s="18">
        <v>499.65</v>
      </c>
      <c r="K523" s="18">
        <v>486.05</v>
      </c>
      <c r="L523" s="69">
        <f>SUM(F523:K523)</f>
        <v>294929.82</v>
      </c>
      <c r="N523" s="130"/>
    </row>
    <row r="524" spans="1:14" ht="12.2" customHeight="1" thickBot="1" x14ac:dyDescent="0.25">
      <c r="A524" s="21" t="s">
        <v>635</v>
      </c>
      <c r="B524" s="22">
        <v>21</v>
      </c>
      <c r="C524" s="22">
        <v>3</v>
      </c>
      <c r="D524" s="2" t="s">
        <v>432</v>
      </c>
      <c r="E524" s="22"/>
      <c r="F524" s="18">
        <v>184088.13</v>
      </c>
      <c r="G524" s="18">
        <v>96920.95</v>
      </c>
      <c r="H524" s="18">
        <v>251867.68</v>
      </c>
      <c r="I524" s="18">
        <v>1253.18</v>
      </c>
      <c r="J524" s="18">
        <v>1359.89</v>
      </c>
      <c r="K524" s="18">
        <v>559.46</v>
      </c>
      <c r="L524" s="69">
        <f>SUM(F524:K524)</f>
        <v>536049.29</v>
      </c>
      <c r="N524" s="130"/>
    </row>
    <row r="525" spans="1:14" ht="12.2" customHeight="1" thickTop="1" x14ac:dyDescent="0.2">
      <c r="A525" s="97" t="s">
        <v>63</v>
      </c>
      <c r="B525" s="41">
        <v>21</v>
      </c>
      <c r="C525" s="41">
        <v>4</v>
      </c>
      <c r="D525" s="115" t="s">
        <v>432</v>
      </c>
      <c r="E525" s="41"/>
      <c r="F525" s="81">
        <f>SUM(F522:F524)</f>
        <v>709798.5</v>
      </c>
      <c r="G525" s="81">
        <f t="shared" ref="G525:L525" si="36">SUM(G522:G524)</f>
        <v>294809.14</v>
      </c>
      <c r="H525" s="81">
        <f t="shared" si="36"/>
        <v>442053.57999999996</v>
      </c>
      <c r="I525" s="81">
        <f t="shared" si="36"/>
        <v>22287.16</v>
      </c>
      <c r="J525" s="81">
        <f t="shared" si="36"/>
        <v>5299</v>
      </c>
      <c r="K525" s="81">
        <f t="shared" si="36"/>
        <v>2237.8199999999997</v>
      </c>
      <c r="L525" s="70">
        <f t="shared" si="36"/>
        <v>1476485.2000000002</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v>614371.94999999995</v>
      </c>
      <c r="G527" s="18">
        <v>322026.90000000002</v>
      </c>
      <c r="H527" s="18">
        <v>444311.45</v>
      </c>
      <c r="I527" s="18">
        <v>5661.79</v>
      </c>
      <c r="J527" s="18">
        <v>0</v>
      </c>
      <c r="K527" s="18">
        <v>0</v>
      </c>
      <c r="L527" s="69">
        <f>SUM(F527:K527)</f>
        <v>1386372.09</v>
      </c>
      <c r="M527" s="8"/>
      <c r="N527" s="164"/>
    </row>
    <row r="528" spans="1:14" s="3" customFormat="1" ht="12.2" customHeight="1" x14ac:dyDescent="0.15">
      <c r="A528" s="21" t="s">
        <v>634</v>
      </c>
      <c r="B528" s="22">
        <v>21</v>
      </c>
      <c r="C528" s="22">
        <v>6</v>
      </c>
      <c r="D528" s="2" t="s">
        <v>432</v>
      </c>
      <c r="E528" s="22"/>
      <c r="F528" s="18">
        <v>115541.16</v>
      </c>
      <c r="G528" s="18">
        <v>47891.14</v>
      </c>
      <c r="H528" s="18">
        <v>105882.21</v>
      </c>
      <c r="I528" s="18">
        <v>227.26</v>
      </c>
      <c r="J528" s="18">
        <v>0</v>
      </c>
      <c r="K528" s="18">
        <v>0</v>
      </c>
      <c r="L528" s="69">
        <f>SUM(F528:K528)</f>
        <v>269541.77</v>
      </c>
      <c r="M528" s="8"/>
      <c r="N528" s="164"/>
    </row>
    <row r="529" spans="1:14" s="3" customFormat="1" ht="12.2" customHeight="1" thickBot="1" x14ac:dyDescent="0.2">
      <c r="A529" s="21" t="s">
        <v>635</v>
      </c>
      <c r="B529" s="22">
        <v>21</v>
      </c>
      <c r="C529" s="22">
        <v>7</v>
      </c>
      <c r="D529" s="2" t="s">
        <v>432</v>
      </c>
      <c r="E529" s="22"/>
      <c r="F529" s="18">
        <v>57777.24</v>
      </c>
      <c r="G529" s="18">
        <v>37777.54</v>
      </c>
      <c r="H529" s="18">
        <v>105191.25</v>
      </c>
      <c r="I529" s="18">
        <v>121.91</v>
      </c>
      <c r="J529" s="18">
        <v>0</v>
      </c>
      <c r="K529" s="18">
        <v>0</v>
      </c>
      <c r="L529" s="69">
        <f>SUM(F529:K529)</f>
        <v>200867.94</v>
      </c>
      <c r="M529" s="8"/>
      <c r="N529" s="164"/>
    </row>
    <row r="530" spans="1:14" s="3" customFormat="1" ht="12.2" customHeight="1" thickTop="1" x14ac:dyDescent="0.15">
      <c r="A530" s="97" t="s">
        <v>65</v>
      </c>
      <c r="B530" s="41">
        <v>21</v>
      </c>
      <c r="C530" s="41">
        <v>8</v>
      </c>
      <c r="D530" s="115" t="s">
        <v>432</v>
      </c>
      <c r="E530" s="41"/>
      <c r="F530" s="70">
        <f>SUM(F527:F529)</f>
        <v>787690.35</v>
      </c>
      <c r="G530" s="70">
        <f t="shared" ref="G530:L530" si="37">SUM(G527:G529)</f>
        <v>407695.58</v>
      </c>
      <c r="H530" s="70">
        <f t="shared" si="37"/>
        <v>655384.91</v>
      </c>
      <c r="I530" s="70">
        <f t="shared" si="37"/>
        <v>6010.96</v>
      </c>
      <c r="J530" s="70">
        <f t="shared" si="37"/>
        <v>0</v>
      </c>
      <c r="K530" s="70">
        <f t="shared" si="37"/>
        <v>0</v>
      </c>
      <c r="L530" s="70">
        <f t="shared" si="37"/>
        <v>1856781.8</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v>79176.61</v>
      </c>
      <c r="G532" s="18">
        <v>33360.74</v>
      </c>
      <c r="H532" s="18">
        <v>826.51</v>
      </c>
      <c r="I532" s="18">
        <v>249.15</v>
      </c>
      <c r="J532" s="18">
        <v>0</v>
      </c>
      <c r="K532" s="18">
        <v>0</v>
      </c>
      <c r="L532" s="69">
        <f>SUM(F532:K532)</f>
        <v>113613.01</v>
      </c>
      <c r="M532" s="8"/>
      <c r="N532" s="164"/>
    </row>
    <row r="533" spans="1:14" s="3" customFormat="1" ht="12.2" customHeight="1" x14ac:dyDescent="0.15">
      <c r="A533" s="21" t="s">
        <v>634</v>
      </c>
      <c r="B533" s="22">
        <v>21</v>
      </c>
      <c r="C533" s="22">
        <v>10</v>
      </c>
      <c r="D533" s="2" t="s">
        <v>432</v>
      </c>
      <c r="E533" s="22"/>
      <c r="F533" s="18">
        <v>31477.279999999999</v>
      </c>
      <c r="G533" s="18">
        <v>13599.76</v>
      </c>
      <c r="H533" s="18">
        <v>336.93</v>
      </c>
      <c r="I533" s="18">
        <v>101.57</v>
      </c>
      <c r="J533" s="18">
        <v>0</v>
      </c>
      <c r="K533" s="18">
        <v>0</v>
      </c>
      <c r="L533" s="69">
        <f>SUM(F533:K533)</f>
        <v>45515.54</v>
      </c>
      <c r="M533" s="8"/>
      <c r="N533" s="164"/>
    </row>
    <row r="534" spans="1:14" s="3" customFormat="1" ht="12.2" customHeight="1" thickBot="1" x14ac:dyDescent="0.2">
      <c r="A534" s="21" t="s">
        <v>635</v>
      </c>
      <c r="B534" s="22">
        <v>21</v>
      </c>
      <c r="C534" s="22">
        <v>11</v>
      </c>
      <c r="D534" s="2" t="s">
        <v>432</v>
      </c>
      <c r="E534" s="22"/>
      <c r="F534" s="18">
        <v>36230.75</v>
      </c>
      <c r="G534" s="18">
        <v>15653.5</v>
      </c>
      <c r="H534" s="18">
        <v>387.81</v>
      </c>
      <c r="I534" s="18">
        <v>116.91</v>
      </c>
      <c r="J534" s="18">
        <v>0</v>
      </c>
      <c r="K534" s="18">
        <v>0</v>
      </c>
      <c r="L534" s="69">
        <f>SUM(F534:K534)</f>
        <v>52388.97</v>
      </c>
      <c r="M534" s="8"/>
      <c r="N534" s="164"/>
    </row>
    <row r="535" spans="1:14" s="3" customFormat="1" ht="12.2" customHeight="1" thickTop="1" x14ac:dyDescent="0.15">
      <c r="A535" s="97" t="s">
        <v>67</v>
      </c>
      <c r="B535" s="41">
        <v>21</v>
      </c>
      <c r="C535" s="41">
        <v>12</v>
      </c>
      <c r="D535" s="115" t="s">
        <v>432</v>
      </c>
      <c r="E535" s="41"/>
      <c r="F535" s="70">
        <f>SUM(F532:F534)</f>
        <v>146884.64000000001</v>
      </c>
      <c r="G535" s="70">
        <f t="shared" ref="G535:L535" si="38">SUM(G532:G534)</f>
        <v>62614</v>
      </c>
      <c r="H535" s="70">
        <f t="shared" si="38"/>
        <v>1551.25</v>
      </c>
      <c r="I535" s="70">
        <f t="shared" si="38"/>
        <v>467.63</v>
      </c>
      <c r="J535" s="70">
        <f t="shared" si="38"/>
        <v>0</v>
      </c>
      <c r="K535" s="70">
        <f t="shared" si="38"/>
        <v>0</v>
      </c>
      <c r="L535" s="70">
        <f t="shared" si="38"/>
        <v>211517.52</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v>0</v>
      </c>
      <c r="G537" s="18">
        <v>0</v>
      </c>
      <c r="H537" s="18">
        <v>7595.04</v>
      </c>
      <c r="I537" s="18">
        <v>0</v>
      </c>
      <c r="J537" s="18">
        <v>0</v>
      </c>
      <c r="K537" s="18">
        <v>0</v>
      </c>
      <c r="L537" s="69">
        <f>SUM(F537:K537)</f>
        <v>7595.04</v>
      </c>
      <c r="M537" s="8"/>
      <c r="N537" s="164"/>
    </row>
    <row r="538" spans="1:14" s="3" customFormat="1" ht="12.2" customHeight="1" x14ac:dyDescent="0.15">
      <c r="A538" s="21" t="s">
        <v>634</v>
      </c>
      <c r="B538" s="22">
        <v>21</v>
      </c>
      <c r="C538" s="22">
        <v>14</v>
      </c>
      <c r="D538" s="2" t="s">
        <v>432</v>
      </c>
      <c r="E538" s="22"/>
      <c r="F538" s="18">
        <v>0</v>
      </c>
      <c r="G538" s="18">
        <v>0</v>
      </c>
      <c r="H538" s="18">
        <v>3096.18</v>
      </c>
      <c r="I538" s="18">
        <v>0</v>
      </c>
      <c r="J538" s="18">
        <v>0</v>
      </c>
      <c r="K538" s="18">
        <v>0</v>
      </c>
      <c r="L538" s="69">
        <f>SUM(F538:K538)</f>
        <v>3096.18</v>
      </c>
      <c r="M538" s="8"/>
      <c r="N538" s="164"/>
    </row>
    <row r="539" spans="1:14" s="3" customFormat="1" ht="12.2" customHeight="1" thickBot="1" x14ac:dyDescent="0.2">
      <c r="A539" s="21" t="s">
        <v>635</v>
      </c>
      <c r="B539" s="22">
        <v>21</v>
      </c>
      <c r="C539" s="22">
        <v>15</v>
      </c>
      <c r="D539" s="2" t="s">
        <v>432</v>
      </c>
      <c r="E539" s="22"/>
      <c r="F539" s="18">
        <v>0</v>
      </c>
      <c r="G539" s="18">
        <v>0</v>
      </c>
      <c r="H539" s="18">
        <v>3563.74</v>
      </c>
      <c r="I539" s="18">
        <v>0</v>
      </c>
      <c r="J539" s="18">
        <v>0</v>
      </c>
      <c r="K539" s="18">
        <v>0</v>
      </c>
      <c r="L539" s="69">
        <f>SUM(F539:K539)</f>
        <v>3563.74</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14254.96</v>
      </c>
      <c r="I540" s="70">
        <f t="shared" si="39"/>
        <v>0</v>
      </c>
      <c r="J540" s="70">
        <f t="shared" si="39"/>
        <v>0</v>
      </c>
      <c r="K540" s="70">
        <f t="shared" si="39"/>
        <v>0</v>
      </c>
      <c r="L540" s="70">
        <f t="shared" si="39"/>
        <v>14254.96</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v>0</v>
      </c>
      <c r="G542" s="18">
        <v>0</v>
      </c>
      <c r="H542" s="18">
        <v>187882.22</v>
      </c>
      <c r="I542" s="18">
        <v>0</v>
      </c>
      <c r="J542" s="18">
        <v>0</v>
      </c>
      <c r="K542" s="18">
        <v>0</v>
      </c>
      <c r="L542" s="69">
        <f>SUM(F542:K542)</f>
        <v>187882.22</v>
      </c>
      <c r="M542" s="8"/>
      <c r="N542" s="164"/>
    </row>
    <row r="543" spans="1:14" s="3" customFormat="1" ht="12.2" customHeight="1" x14ac:dyDescent="0.15">
      <c r="A543" s="21" t="s">
        <v>634</v>
      </c>
      <c r="B543" s="22">
        <v>21</v>
      </c>
      <c r="C543" s="22">
        <v>18</v>
      </c>
      <c r="D543" s="2" t="s">
        <v>432</v>
      </c>
      <c r="E543" s="22"/>
      <c r="F543" s="18">
        <v>0</v>
      </c>
      <c r="G543" s="18">
        <v>0</v>
      </c>
      <c r="H543" s="18">
        <v>31736.33</v>
      </c>
      <c r="I543" s="18">
        <v>0</v>
      </c>
      <c r="J543" s="18">
        <v>0</v>
      </c>
      <c r="K543" s="18">
        <v>0</v>
      </c>
      <c r="L543" s="69">
        <f>SUM(F543:K543)</f>
        <v>31736.33</v>
      </c>
      <c r="M543" s="8"/>
      <c r="N543" s="164"/>
    </row>
    <row r="544" spans="1:14" s="3" customFormat="1" ht="12.2" customHeight="1" thickBot="1" x14ac:dyDescent="0.2">
      <c r="A544" s="21" t="s">
        <v>635</v>
      </c>
      <c r="B544" s="22">
        <v>21</v>
      </c>
      <c r="C544" s="22">
        <v>19</v>
      </c>
      <c r="D544" s="2" t="s">
        <v>432</v>
      </c>
      <c r="E544" s="22"/>
      <c r="F544" s="18">
        <v>0</v>
      </c>
      <c r="G544" s="18">
        <v>0</v>
      </c>
      <c r="H544" s="18">
        <v>118300.7</v>
      </c>
      <c r="I544" s="18">
        <v>0</v>
      </c>
      <c r="J544" s="18">
        <v>0</v>
      </c>
      <c r="K544" s="18">
        <v>0</v>
      </c>
      <c r="L544" s="69">
        <f>SUM(F544:K544)</f>
        <v>118300.7</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0">SUM(G542:G544)</f>
        <v>0</v>
      </c>
      <c r="H545" s="140">
        <f t="shared" si="40"/>
        <v>337919.25</v>
      </c>
      <c r="I545" s="140">
        <f t="shared" si="40"/>
        <v>0</v>
      </c>
      <c r="J545" s="140">
        <f t="shared" si="40"/>
        <v>0</v>
      </c>
      <c r="K545" s="140">
        <f t="shared" si="40"/>
        <v>0</v>
      </c>
      <c r="L545" s="140">
        <f t="shared" si="40"/>
        <v>337919.25</v>
      </c>
      <c r="M545" s="8"/>
      <c r="N545" s="164"/>
    </row>
    <row r="546" spans="1:14" s="3" customFormat="1" ht="12.2" customHeight="1" thickTop="1" x14ac:dyDescent="0.15">
      <c r="A546" s="75" t="s">
        <v>72</v>
      </c>
      <c r="B546" s="41">
        <v>21</v>
      </c>
      <c r="C546" s="41">
        <v>21</v>
      </c>
      <c r="D546" s="115" t="s">
        <v>432</v>
      </c>
      <c r="E546" s="41"/>
      <c r="F546" s="70">
        <f>F525+F530+F535+F540+F545</f>
        <v>1644373.4900000002</v>
      </c>
      <c r="G546" s="70">
        <f t="shared" ref="G546:L546" si="41">G525+G530+G535+G540+G545</f>
        <v>765118.72</v>
      </c>
      <c r="H546" s="70">
        <f t="shared" si="41"/>
        <v>1451163.95</v>
      </c>
      <c r="I546" s="70">
        <f t="shared" si="41"/>
        <v>28765.75</v>
      </c>
      <c r="J546" s="70">
        <f t="shared" si="41"/>
        <v>5299</v>
      </c>
      <c r="K546" s="70">
        <f t="shared" si="41"/>
        <v>2237.8199999999997</v>
      </c>
      <c r="L546" s="70">
        <f t="shared" si="41"/>
        <v>3896958.73</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645506.09000000008</v>
      </c>
      <c r="G550" s="69">
        <f>L527</f>
        <v>1386372.09</v>
      </c>
      <c r="H550" s="69">
        <f>L532</f>
        <v>113613.01</v>
      </c>
      <c r="I550" s="69">
        <f>L537</f>
        <v>7595.04</v>
      </c>
      <c r="J550" s="69">
        <f>L542</f>
        <v>187882.22</v>
      </c>
      <c r="K550" s="69">
        <f>SUM(F550:J550)</f>
        <v>2340968.4500000002</v>
      </c>
      <c r="L550" s="23" t="s">
        <v>288</v>
      </c>
      <c r="M550" s="8"/>
      <c r="N550" s="164"/>
    </row>
    <row r="551" spans="1:14" s="3" customFormat="1" ht="12.2" customHeight="1" x14ac:dyDescent="0.15">
      <c r="A551" s="21" t="s">
        <v>634</v>
      </c>
      <c r="B551" s="22">
        <v>21</v>
      </c>
      <c r="C551" s="22">
        <v>23</v>
      </c>
      <c r="D551" s="2" t="s">
        <v>432</v>
      </c>
      <c r="E551" s="22"/>
      <c r="F551" s="69">
        <f>L523</f>
        <v>294929.82</v>
      </c>
      <c r="G551" s="69">
        <f>L528</f>
        <v>269541.77</v>
      </c>
      <c r="H551" s="69">
        <f>L533</f>
        <v>45515.54</v>
      </c>
      <c r="I551" s="69">
        <f>L538</f>
        <v>3096.18</v>
      </c>
      <c r="J551" s="69">
        <f>L543</f>
        <v>31736.33</v>
      </c>
      <c r="K551" s="69">
        <f>SUM(F551:J551)</f>
        <v>644819.64000000013</v>
      </c>
      <c r="L551" s="23" t="s">
        <v>288</v>
      </c>
      <c r="M551" s="8"/>
      <c r="N551" s="164"/>
    </row>
    <row r="552" spans="1:14" s="3" customFormat="1" ht="12.2" customHeight="1" thickBot="1" x14ac:dyDescent="0.2">
      <c r="A552" s="21" t="s">
        <v>635</v>
      </c>
      <c r="B552" s="22">
        <v>21</v>
      </c>
      <c r="C552" s="22">
        <v>24</v>
      </c>
      <c r="D552" s="2" t="s">
        <v>432</v>
      </c>
      <c r="E552" s="22"/>
      <c r="F552" s="69">
        <f>L524</f>
        <v>536049.29</v>
      </c>
      <c r="G552" s="69">
        <f>L529</f>
        <v>200867.94</v>
      </c>
      <c r="H552" s="69">
        <f>L534</f>
        <v>52388.97</v>
      </c>
      <c r="I552" s="69">
        <f>L539</f>
        <v>3563.74</v>
      </c>
      <c r="J552" s="69">
        <f>L544</f>
        <v>118300.7</v>
      </c>
      <c r="K552" s="69">
        <f>SUM(F552:J552)</f>
        <v>911170.6399999999</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1476485.2000000002</v>
      </c>
      <c r="G553" s="70">
        <f t="shared" si="42"/>
        <v>1856781.8</v>
      </c>
      <c r="H553" s="70">
        <f t="shared" si="42"/>
        <v>211517.52</v>
      </c>
      <c r="I553" s="70">
        <f t="shared" si="42"/>
        <v>14254.96</v>
      </c>
      <c r="J553" s="70">
        <f t="shared" si="42"/>
        <v>337919.25</v>
      </c>
      <c r="K553" s="70">
        <f t="shared" si="42"/>
        <v>3896958.7300000004</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4"/>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4"/>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4"/>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0</v>
      </c>
      <c r="L571" s="140">
        <f t="shared" si="45"/>
        <v>0</v>
      </c>
      <c r="M571" s="8"/>
      <c r="N571" s="164"/>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v>0</v>
      </c>
      <c r="G576" s="18">
        <v>0</v>
      </c>
      <c r="H576" s="18">
        <v>0</v>
      </c>
      <c r="I576" s="69">
        <f>SUM(F576:H576)</f>
        <v>0</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v>0</v>
      </c>
      <c r="G577" s="18">
        <v>0</v>
      </c>
      <c r="H577" s="18">
        <v>0</v>
      </c>
      <c r="I577" s="69">
        <f t="shared" ref="I577:I588" si="47">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v>0</v>
      </c>
      <c r="I578" s="69">
        <f t="shared" si="47"/>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v>0</v>
      </c>
      <c r="G579" s="18">
        <v>0</v>
      </c>
      <c r="H579" s="18">
        <v>0</v>
      </c>
      <c r="I579" s="69">
        <f t="shared" si="47"/>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v>0</v>
      </c>
      <c r="G580" s="18">
        <v>0</v>
      </c>
      <c r="H580" s="18">
        <v>77031.8</v>
      </c>
      <c r="I580" s="69">
        <f t="shared" si="47"/>
        <v>77031.8</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v>0</v>
      </c>
      <c r="G581" s="18">
        <v>0</v>
      </c>
      <c r="H581" s="18">
        <v>0</v>
      </c>
      <c r="I581" s="69">
        <f t="shared" si="47"/>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v>0</v>
      </c>
      <c r="I582" s="69">
        <f t="shared" si="47"/>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v>155098.81</v>
      </c>
      <c r="G583" s="18">
        <v>0</v>
      </c>
      <c r="H583" s="18">
        <v>173835.88</v>
      </c>
      <c r="I583" s="69">
        <f t="shared" si="47"/>
        <v>328934.69</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v>0</v>
      </c>
      <c r="G584" s="18">
        <v>0</v>
      </c>
      <c r="H584" s="18">
        <v>0</v>
      </c>
      <c r="I584" s="69">
        <f t="shared" si="47"/>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v>0</v>
      </c>
      <c r="G585" s="18">
        <v>0</v>
      </c>
      <c r="H585" s="18">
        <v>0</v>
      </c>
      <c r="I585" s="69">
        <f t="shared" si="47"/>
        <v>0</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v>0</v>
      </c>
      <c r="G586" s="18">
        <v>0</v>
      </c>
      <c r="H586" s="18">
        <v>0</v>
      </c>
      <c r="I586" s="69">
        <f t="shared" si="47"/>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v>0</v>
      </c>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155098.81</v>
      </c>
      <c r="G589" s="79">
        <f t="shared" ref="G589:I589" si="48">SUM(G576:G588)</f>
        <v>0</v>
      </c>
      <c r="H589" s="79">
        <f t="shared" si="48"/>
        <v>250867.68</v>
      </c>
      <c r="I589" s="79">
        <f t="shared" si="48"/>
        <v>405966.49</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v>187121</v>
      </c>
      <c r="I592" s="18">
        <v>87833.5</v>
      </c>
      <c r="J592" s="18">
        <v>106925.5</v>
      </c>
      <c r="K592" s="80">
        <f t="shared" ref="K592:K598" si="49">SUM(H592:J592)</f>
        <v>381880</v>
      </c>
      <c r="L592" s="23" t="s">
        <v>288</v>
      </c>
      <c r="M592" s="8"/>
      <c r="N592" s="164"/>
    </row>
    <row r="593" spans="1:14" s="3" customFormat="1" ht="12.2" customHeight="1" x14ac:dyDescent="0.15">
      <c r="A593" s="3" t="s">
        <v>638</v>
      </c>
      <c r="B593" s="22">
        <v>23</v>
      </c>
      <c r="C593" s="22">
        <v>2</v>
      </c>
      <c r="D593" s="2" t="s">
        <v>432</v>
      </c>
      <c r="E593" s="22"/>
      <c r="F593" s="78">
        <v>2722</v>
      </c>
      <c r="G593" s="79" t="s">
        <v>97</v>
      </c>
      <c r="H593" s="18">
        <v>187882.22</v>
      </c>
      <c r="I593" s="18">
        <v>31736.33</v>
      </c>
      <c r="J593" s="18">
        <v>118300.7</v>
      </c>
      <c r="K593" s="80">
        <f t="shared" si="49"/>
        <v>337919.25</v>
      </c>
      <c r="L593" s="23" t="s">
        <v>288</v>
      </c>
      <c r="M593" s="8"/>
      <c r="N593" s="164"/>
    </row>
    <row r="594" spans="1:14" s="3" customFormat="1" ht="12.2" customHeight="1" x14ac:dyDescent="0.15">
      <c r="A594" s="3" t="s">
        <v>639</v>
      </c>
      <c r="B594" s="22">
        <v>23</v>
      </c>
      <c r="C594" s="22">
        <v>3</v>
      </c>
      <c r="D594" s="2" t="s">
        <v>432</v>
      </c>
      <c r="E594" s="22"/>
      <c r="F594" s="78">
        <v>2723</v>
      </c>
      <c r="G594" s="79" t="s">
        <v>97</v>
      </c>
      <c r="H594" s="18">
        <v>0</v>
      </c>
      <c r="I594" s="18">
        <v>0</v>
      </c>
      <c r="J594" s="18">
        <v>16619.18</v>
      </c>
      <c r="K594" s="80">
        <f t="shared" si="49"/>
        <v>16619.18</v>
      </c>
      <c r="L594" s="23" t="s">
        <v>288</v>
      </c>
      <c r="M594" s="8"/>
      <c r="N594" s="164"/>
    </row>
    <row r="595" spans="1:14" s="3" customFormat="1" ht="12.2" customHeight="1" x14ac:dyDescent="0.15">
      <c r="A595" s="21" t="s">
        <v>640</v>
      </c>
      <c r="B595" s="22">
        <v>23</v>
      </c>
      <c r="C595" s="22">
        <v>4</v>
      </c>
      <c r="D595" s="2" t="s">
        <v>432</v>
      </c>
      <c r="E595" s="22"/>
      <c r="F595" s="78">
        <v>2724</v>
      </c>
      <c r="G595" s="79" t="s">
        <v>97</v>
      </c>
      <c r="H595" s="18">
        <v>0</v>
      </c>
      <c r="I595" s="18">
        <v>17085.55</v>
      </c>
      <c r="J595" s="18">
        <v>20915.32</v>
      </c>
      <c r="K595" s="80">
        <f t="shared" si="49"/>
        <v>38000.869999999995</v>
      </c>
      <c r="L595" s="23" t="s">
        <v>288</v>
      </c>
      <c r="M595" s="8"/>
      <c r="N595" s="164"/>
    </row>
    <row r="596" spans="1:14" s="3" customFormat="1" ht="12.2" customHeight="1" x14ac:dyDescent="0.15">
      <c r="A596" s="103" t="s">
        <v>652</v>
      </c>
      <c r="B596" s="22">
        <v>23</v>
      </c>
      <c r="C596" s="22">
        <v>5</v>
      </c>
      <c r="D596" s="2" t="s">
        <v>432</v>
      </c>
      <c r="E596" s="22"/>
      <c r="F596" s="78">
        <v>2725</v>
      </c>
      <c r="G596" s="79" t="s">
        <v>97</v>
      </c>
      <c r="H596" s="18">
        <v>6187.66</v>
      </c>
      <c r="I596" s="18">
        <v>3882.25</v>
      </c>
      <c r="J596" s="18">
        <v>4737.5</v>
      </c>
      <c r="K596" s="80">
        <f t="shared" si="49"/>
        <v>14807.41</v>
      </c>
      <c r="L596" s="23" t="s">
        <v>288</v>
      </c>
      <c r="M596" s="8"/>
      <c r="N596" s="164"/>
    </row>
    <row r="597" spans="1:14" s="3" customFormat="1" ht="12.2" customHeight="1" x14ac:dyDescent="0.15">
      <c r="A597" s="21" t="s">
        <v>641</v>
      </c>
      <c r="B597" s="22">
        <v>23</v>
      </c>
      <c r="C597" s="22">
        <v>6</v>
      </c>
      <c r="D597" s="2" t="s">
        <v>432</v>
      </c>
      <c r="E597" s="22"/>
      <c r="F597" s="78">
        <v>2726</v>
      </c>
      <c r="G597" s="79" t="s">
        <v>97</v>
      </c>
      <c r="H597" s="18">
        <v>3472.78</v>
      </c>
      <c r="I597" s="18">
        <v>1415.7</v>
      </c>
      <c r="J597" s="18">
        <v>1629.5</v>
      </c>
      <c r="K597" s="80">
        <f t="shared" si="49"/>
        <v>6517.9800000000005</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v>0</v>
      </c>
      <c r="I598" s="18">
        <v>99.53</v>
      </c>
      <c r="J598" s="18">
        <v>121.61</v>
      </c>
      <c r="K598" s="80">
        <f t="shared" si="49"/>
        <v>221.14</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384663.66</v>
      </c>
      <c r="I599" s="81">
        <f>SUM(I592:I598)</f>
        <v>142052.86000000002</v>
      </c>
      <c r="J599" s="81">
        <f>SUM(J592:J598)</f>
        <v>269249.31</v>
      </c>
      <c r="K599" s="81">
        <f>SUM(K592:K598)</f>
        <v>795965.83000000007</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v>0</v>
      </c>
      <c r="I603" s="18">
        <v>0</v>
      </c>
      <c r="J603" s="18">
        <v>0</v>
      </c>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v>0</v>
      </c>
      <c r="I604" s="18">
        <v>0</v>
      </c>
      <c r="J604" s="18">
        <v>0</v>
      </c>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v>74943.62</v>
      </c>
      <c r="I605" s="18">
        <v>156397.46</v>
      </c>
      <c r="J605" s="18">
        <v>112553.64</v>
      </c>
      <c r="K605" s="80">
        <f>SUM(H605:J605)</f>
        <v>343894.72</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74943.62</v>
      </c>
      <c r="I606" s="81">
        <f>SUM(I603:I605)</f>
        <v>156397.46</v>
      </c>
      <c r="J606" s="81">
        <f>SUM(J603:J605)</f>
        <v>112553.64</v>
      </c>
      <c r="K606" s="81">
        <f>SUM(K603:K605)</f>
        <v>343894.72</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v>69565.64</v>
      </c>
      <c r="G612" s="18">
        <v>17158.02</v>
      </c>
      <c r="H612" s="18">
        <v>47217.09</v>
      </c>
      <c r="I612" s="18">
        <v>1195.01</v>
      </c>
      <c r="J612" s="18">
        <v>0</v>
      </c>
      <c r="K612" s="18">
        <v>0</v>
      </c>
      <c r="L612" s="69">
        <f>SUM(F612:K612)</f>
        <v>135135.76</v>
      </c>
      <c r="M612" s="8"/>
      <c r="N612" s="164"/>
    </row>
    <row r="613" spans="1:14" s="3" customFormat="1" ht="12.2" customHeight="1" x14ac:dyDescent="0.15">
      <c r="A613" s="21" t="s">
        <v>634</v>
      </c>
      <c r="B613" s="22">
        <v>23</v>
      </c>
      <c r="C613" s="22">
        <v>14</v>
      </c>
      <c r="D613" s="2" t="s">
        <v>432</v>
      </c>
      <c r="E613" s="22"/>
      <c r="F613" s="18">
        <v>24722.41</v>
      </c>
      <c r="G613" s="18">
        <v>5545.03</v>
      </c>
      <c r="H613" s="18">
        <v>0</v>
      </c>
      <c r="I613" s="18">
        <v>107.09</v>
      </c>
      <c r="J613" s="18">
        <v>0</v>
      </c>
      <c r="K613" s="18">
        <v>87.75</v>
      </c>
      <c r="L613" s="69">
        <f>SUM(F613:K613)</f>
        <v>30462.28</v>
      </c>
      <c r="M613" s="8"/>
      <c r="N613" s="164"/>
    </row>
    <row r="614" spans="1:14" s="3" customFormat="1" ht="12.2" customHeight="1" thickBot="1" x14ac:dyDescent="0.2">
      <c r="A614" s="21" t="s">
        <v>645</v>
      </c>
      <c r="B614" s="22">
        <v>23</v>
      </c>
      <c r="C614" s="22">
        <v>15</v>
      </c>
      <c r="D614" s="2" t="s">
        <v>432</v>
      </c>
      <c r="E614" s="22"/>
      <c r="F614" s="18">
        <v>16137.65</v>
      </c>
      <c r="G614" s="18">
        <v>3649.7</v>
      </c>
      <c r="H614" s="18">
        <v>0</v>
      </c>
      <c r="I614" s="18">
        <v>129.27000000000001</v>
      </c>
      <c r="J614" s="18">
        <v>0</v>
      </c>
      <c r="K614" s="18">
        <v>107.25</v>
      </c>
      <c r="L614" s="69">
        <f>SUM(F614:K614)</f>
        <v>20023.87</v>
      </c>
      <c r="M614" s="8"/>
      <c r="N614" s="164"/>
    </row>
    <row r="615" spans="1:14" s="3" customFormat="1" ht="12.2" customHeight="1" thickTop="1" x14ac:dyDescent="0.15">
      <c r="A615" s="75" t="s">
        <v>340</v>
      </c>
      <c r="B615" s="41">
        <v>23</v>
      </c>
      <c r="C615" s="41">
        <v>16</v>
      </c>
      <c r="D615" s="36" t="s">
        <v>432</v>
      </c>
      <c r="E615" s="41"/>
      <c r="F615" s="81">
        <f t="shared" ref="F615:L615" si="50">SUM(F612:F614)</f>
        <v>110425.7</v>
      </c>
      <c r="G615" s="81">
        <f t="shared" si="50"/>
        <v>26352.75</v>
      </c>
      <c r="H615" s="81">
        <f t="shared" si="50"/>
        <v>47217.09</v>
      </c>
      <c r="I615" s="81">
        <f t="shared" si="50"/>
        <v>1431.37</v>
      </c>
      <c r="J615" s="81">
        <f t="shared" si="50"/>
        <v>0</v>
      </c>
      <c r="K615" s="81">
        <f t="shared" si="50"/>
        <v>195</v>
      </c>
      <c r="L615" s="70">
        <f t="shared" si="50"/>
        <v>185621.91</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506503.99000000005</v>
      </c>
      <c r="H618" s="80">
        <f>SUM(F52)</f>
        <v>506503.99</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93037.78</v>
      </c>
      <c r="H619" s="80">
        <f>SUM(G52)</f>
        <v>93037.78</v>
      </c>
      <c r="I619" s="87" t="s">
        <v>872</v>
      </c>
      <c r="J619" s="80">
        <f>G619-H619</f>
        <v>0</v>
      </c>
      <c r="K619" s="80"/>
      <c r="L619" s="80"/>
      <c r="M619" s="8"/>
    </row>
    <row r="620" spans="1:14" s="3" customFormat="1" ht="12.2" customHeight="1" x14ac:dyDescent="0.15">
      <c r="A620" s="74"/>
      <c r="B620" s="22"/>
      <c r="C620" s="22"/>
      <c r="D620" s="22"/>
      <c r="E620" s="22"/>
      <c r="F620" s="87" t="s">
        <v>685</v>
      </c>
      <c r="G620" s="80">
        <f>SUM(H19)</f>
        <v>184425.15</v>
      </c>
      <c r="H620" s="80">
        <f>SUM(H52)</f>
        <v>184425.15</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673005.52</v>
      </c>
      <c r="H622" s="80">
        <f>SUM(J52)</f>
        <v>673005.52</v>
      </c>
      <c r="I622" s="87" t="s">
        <v>875</v>
      </c>
      <c r="J622" s="80">
        <f>G622-H622</f>
        <v>0</v>
      </c>
      <c r="K622" s="80"/>
      <c r="L622" s="80"/>
      <c r="M622" s="8"/>
    </row>
    <row r="623" spans="1:14" s="3" customFormat="1" ht="12.2" customHeight="1" x14ac:dyDescent="0.15">
      <c r="A623" s="74"/>
      <c r="B623" s="22"/>
      <c r="C623" s="22"/>
      <c r="D623" s="22"/>
      <c r="E623" s="22"/>
      <c r="F623" s="87" t="s">
        <v>861</v>
      </c>
      <c r="G623" s="80">
        <f>F51</f>
        <v>349527.02</v>
      </c>
      <c r="H623" s="80">
        <f>F477</f>
        <v>349527.01999999955</v>
      </c>
      <c r="I623" s="87" t="s">
        <v>101</v>
      </c>
      <c r="J623" s="80">
        <f t="shared" ref="J623:J656" si="51">G623-H623</f>
        <v>4.6566128730773926E-10</v>
      </c>
      <c r="K623" s="80"/>
      <c r="L623" s="80"/>
      <c r="M623" s="8"/>
    </row>
    <row r="624" spans="1:14" s="3" customFormat="1" ht="12.2" customHeight="1" x14ac:dyDescent="0.15">
      <c r="A624" s="74"/>
      <c r="B624" s="22"/>
      <c r="C624" s="85"/>
      <c r="D624" s="85"/>
      <c r="E624" s="85"/>
      <c r="F624" s="85" t="s">
        <v>862</v>
      </c>
      <c r="G624" s="80">
        <f>G51</f>
        <v>-183949.67</v>
      </c>
      <c r="H624" s="80">
        <f>G477</f>
        <v>-183949.67</v>
      </c>
      <c r="I624" s="87" t="s">
        <v>102</v>
      </c>
      <c r="J624" s="80">
        <f t="shared" si="51"/>
        <v>0</v>
      </c>
      <c r="K624" s="80"/>
      <c r="L624" s="80"/>
      <c r="M624" s="8"/>
    </row>
    <row r="625" spans="1:13" s="3" customFormat="1" ht="12.2" customHeight="1" x14ac:dyDescent="0.15">
      <c r="A625" s="74"/>
      <c r="B625" s="22"/>
      <c r="C625" s="22"/>
      <c r="D625" s="22"/>
      <c r="E625" s="22"/>
      <c r="F625" s="86" t="s">
        <v>863</v>
      </c>
      <c r="G625" s="80">
        <f>H51</f>
        <v>49137.84</v>
      </c>
      <c r="H625" s="80">
        <f>H477</f>
        <v>49137.840000000084</v>
      </c>
      <c r="I625" s="87" t="s">
        <v>103</v>
      </c>
      <c r="J625" s="80">
        <f t="shared" si="51"/>
        <v>-8.7311491370201111E-11</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865</v>
      </c>
      <c r="G627" s="80">
        <f>J51</f>
        <v>673005.52</v>
      </c>
      <c r="H627" s="80">
        <f>J477</f>
        <v>673005.52</v>
      </c>
      <c r="I627" s="87" t="s">
        <v>105</v>
      </c>
      <c r="J627" s="80">
        <f t="shared" si="51"/>
        <v>0</v>
      </c>
      <c r="K627" s="67"/>
      <c r="L627" s="69"/>
      <c r="M627" s="8"/>
    </row>
    <row r="628" spans="1:13" s="3" customFormat="1" ht="12.2" customHeight="1" x14ac:dyDescent="0.15">
      <c r="A628" s="21"/>
      <c r="B628" s="22"/>
      <c r="C628" s="22"/>
      <c r="D628" s="22"/>
      <c r="E628" s="22"/>
      <c r="F628" s="86" t="s">
        <v>658</v>
      </c>
      <c r="G628" s="80">
        <f>F194</f>
        <v>12919331.190000001</v>
      </c>
      <c r="H628" s="80">
        <f>SUM(F469)</f>
        <v>12919331.189999999</v>
      </c>
      <c r="I628" s="87" t="s">
        <v>106</v>
      </c>
      <c r="J628" s="80">
        <f>G628-H628</f>
        <v>0</v>
      </c>
      <c r="K628" s="67"/>
      <c r="L628" s="69"/>
      <c r="M628" s="8"/>
    </row>
    <row r="629" spans="1:13" s="3" customFormat="1" ht="12.2" customHeight="1" x14ac:dyDescent="0.15">
      <c r="A629" s="21"/>
      <c r="B629" s="22"/>
      <c r="C629" s="22"/>
      <c r="D629" s="22"/>
      <c r="E629" s="22"/>
      <c r="F629" s="86" t="s">
        <v>659</v>
      </c>
      <c r="G629" s="80">
        <f>G194</f>
        <v>179678.22</v>
      </c>
      <c r="H629" s="80">
        <f>SUM(G469)</f>
        <v>179678.22</v>
      </c>
      <c r="I629" s="87" t="s">
        <v>107</v>
      </c>
      <c r="J629" s="80">
        <f>G629-H629</f>
        <v>0</v>
      </c>
      <c r="K629" s="67"/>
      <c r="L629" s="69"/>
      <c r="M629" s="8"/>
    </row>
    <row r="630" spans="1:13" s="3" customFormat="1" ht="12.2" customHeight="1" x14ac:dyDescent="0.15">
      <c r="A630" s="21"/>
      <c r="B630" s="22"/>
      <c r="C630" s="22"/>
      <c r="D630" s="22"/>
      <c r="E630" s="22"/>
      <c r="F630" s="86" t="s">
        <v>660</v>
      </c>
      <c r="G630" s="80">
        <f>H194</f>
        <v>608634.63</v>
      </c>
      <c r="H630" s="80">
        <f>SUM(H469)</f>
        <v>608634.63</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220342.23</v>
      </c>
      <c r="H632" s="80">
        <f>SUM(J469)</f>
        <v>220342.23</v>
      </c>
      <c r="I632" s="87" t="s">
        <v>110</v>
      </c>
      <c r="J632" s="80">
        <f>G632-H632</f>
        <v>0</v>
      </c>
      <c r="K632" s="67"/>
      <c r="L632" s="69"/>
      <c r="M632" s="8"/>
    </row>
    <row r="633" spans="1:13" s="3" customFormat="1" ht="12.2" customHeight="1" x14ac:dyDescent="0.15">
      <c r="A633" s="21"/>
      <c r="B633" s="22"/>
      <c r="C633" s="22"/>
      <c r="D633" s="22"/>
      <c r="E633" s="22"/>
      <c r="F633" s="86" t="s">
        <v>394</v>
      </c>
      <c r="G633" s="80">
        <f>SUM(L272)</f>
        <v>13223370.08</v>
      </c>
      <c r="H633" s="80">
        <f>SUM(F473)</f>
        <v>13223370.08</v>
      </c>
      <c r="I633" s="87" t="s">
        <v>111</v>
      </c>
      <c r="J633" s="80">
        <f t="shared" si="51"/>
        <v>0</v>
      </c>
      <c r="K633" s="67"/>
      <c r="L633" s="69"/>
      <c r="M633" s="8"/>
    </row>
    <row r="634" spans="1:13" s="3" customFormat="1" ht="12.2" customHeight="1" x14ac:dyDescent="0.15">
      <c r="A634" s="21"/>
      <c r="B634" s="22"/>
      <c r="C634" s="22"/>
      <c r="D634" s="22"/>
      <c r="E634" s="22"/>
      <c r="F634" s="86" t="s">
        <v>395</v>
      </c>
      <c r="G634" s="80">
        <f>SUM(L353)</f>
        <v>664129.56999999995</v>
      </c>
      <c r="H634" s="80">
        <f>SUM(H473)</f>
        <v>664129.56999999995</v>
      </c>
      <c r="I634" s="87" t="s">
        <v>112</v>
      </c>
      <c r="J634" s="80">
        <f>G634-H634</f>
        <v>0</v>
      </c>
      <c r="K634" s="67"/>
      <c r="L634" s="69"/>
      <c r="M634" s="8"/>
    </row>
    <row r="635" spans="1:13" s="124" customFormat="1" ht="12.2" customHeight="1" x14ac:dyDescent="0.15">
      <c r="A635" s="21"/>
      <c r="B635" s="22"/>
      <c r="C635" s="22"/>
      <c r="D635" s="22"/>
      <c r="E635" s="22"/>
      <c r="F635" s="99" t="s">
        <v>247</v>
      </c>
      <c r="G635" s="80">
        <f>I363</f>
        <v>160884.74</v>
      </c>
      <c r="H635" s="80">
        <f>I370</f>
        <v>160884.74000000002</v>
      </c>
      <c r="I635" s="100" t="s">
        <v>248</v>
      </c>
      <c r="J635" s="80">
        <f>G635-H635</f>
        <v>0</v>
      </c>
      <c r="K635" s="67"/>
      <c r="L635" s="69"/>
      <c r="M635" s="123"/>
    </row>
    <row r="636" spans="1:13" s="124" customFormat="1" ht="12.2" customHeight="1" x14ac:dyDescent="0.15">
      <c r="A636" s="21"/>
      <c r="B636" s="22"/>
      <c r="C636" s="22"/>
      <c r="D636" s="22"/>
      <c r="E636" s="22"/>
      <c r="F636" s="86" t="s">
        <v>113</v>
      </c>
      <c r="G636" s="80">
        <f>SUM(L363)</f>
        <v>387219.52000000008</v>
      </c>
      <c r="H636" s="80">
        <f>SUM(G473)</f>
        <v>387219.52</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220342.22999999998</v>
      </c>
      <c r="H638" s="108">
        <f>SUM(J469)</f>
        <v>220342.23</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91670</v>
      </c>
      <c r="H639" s="108">
        <f>SUM(J473)</f>
        <v>91670</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673005.52</v>
      </c>
      <c r="H640" s="80">
        <f>SUM(F462)</f>
        <v>673005.52</v>
      </c>
      <c r="I640" s="87" t="s">
        <v>837</v>
      </c>
      <c r="J640" s="80">
        <f t="shared" si="51"/>
        <v>0</v>
      </c>
      <c r="K640" s="67"/>
      <c r="L640" s="69"/>
      <c r="M640" s="8"/>
    </row>
    <row r="641" spans="1:13" s="3" customFormat="1" ht="12.2" customHeight="1" x14ac:dyDescent="0.15">
      <c r="A641" s="21"/>
      <c r="B641" s="22"/>
      <c r="C641" s="22"/>
      <c r="D641" s="22"/>
      <c r="E641" s="22"/>
      <c r="F641" s="86" t="s">
        <v>119</v>
      </c>
      <c r="G641" s="80">
        <f>SUM(G447)</f>
        <v>0</v>
      </c>
      <c r="H641" s="80">
        <f>SUM(G462)</f>
        <v>0</v>
      </c>
      <c r="I641" s="87" t="s">
        <v>838</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1"/>
        <v>0</v>
      </c>
      <c r="K642" s="67"/>
      <c r="L642" s="69"/>
      <c r="M642" s="8"/>
    </row>
    <row r="643" spans="1:13" s="3" customFormat="1" ht="12.2" customHeight="1" x14ac:dyDescent="0.15">
      <c r="A643" s="21"/>
      <c r="B643" s="22"/>
      <c r="C643" s="22"/>
      <c r="D643" s="22"/>
      <c r="E643" s="22"/>
      <c r="F643" s="86" t="s">
        <v>121</v>
      </c>
      <c r="G643" s="80">
        <f>SUM(I447)</f>
        <v>673005.52</v>
      </c>
      <c r="H643" s="80">
        <f>SUM(I462)</f>
        <v>673005.52</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30342.23</v>
      </c>
      <c r="H645" s="80">
        <f>H409</f>
        <v>30342.23</v>
      </c>
      <c r="I645" s="87" t="s">
        <v>480</v>
      </c>
      <c r="J645" s="80">
        <f t="shared" si="51"/>
        <v>0</v>
      </c>
      <c r="K645" s="67"/>
      <c r="L645" s="69"/>
      <c r="M645" s="8"/>
    </row>
    <row r="646" spans="1:13" s="3" customFormat="1" ht="12.2" customHeight="1" x14ac:dyDescent="0.15">
      <c r="A646" s="21"/>
      <c r="B646" s="22"/>
      <c r="C646" s="22"/>
      <c r="D646" s="22"/>
      <c r="E646" s="22"/>
      <c r="F646" s="86" t="s">
        <v>664</v>
      </c>
      <c r="G646" s="80">
        <f>J184</f>
        <v>190000</v>
      </c>
      <c r="H646" s="80">
        <f>G409</f>
        <v>190000</v>
      </c>
      <c r="I646" s="87" t="s">
        <v>481</v>
      </c>
      <c r="J646" s="80">
        <f t="shared" si="51"/>
        <v>0</v>
      </c>
      <c r="K646" s="67"/>
      <c r="L646" s="69"/>
      <c r="M646" s="8"/>
    </row>
    <row r="647" spans="1:13" s="3" customFormat="1" ht="12.2" customHeight="1" x14ac:dyDescent="0.15">
      <c r="A647" s="21"/>
      <c r="B647" s="22"/>
      <c r="C647" s="22"/>
      <c r="D647" s="22"/>
      <c r="E647" s="22"/>
      <c r="F647" s="86" t="s">
        <v>662</v>
      </c>
      <c r="G647" s="80">
        <f>J194</f>
        <v>220342.23</v>
      </c>
      <c r="H647" s="80">
        <f>L409</f>
        <v>220342.22999999998</v>
      </c>
      <c r="I647" s="87" t="s">
        <v>477</v>
      </c>
      <c r="J647" s="80">
        <f t="shared" si="51"/>
        <v>0</v>
      </c>
      <c r="K647" s="67"/>
      <c r="L647" s="69"/>
      <c r="M647" s="8"/>
    </row>
    <row r="648" spans="1:13" s="3" customFormat="1" ht="12.2" customHeight="1" x14ac:dyDescent="0.15">
      <c r="A648" s="21"/>
      <c r="B648" s="22"/>
      <c r="C648" s="22"/>
      <c r="D648" s="22"/>
      <c r="E648" s="22"/>
      <c r="F648" s="86" t="s">
        <v>51</v>
      </c>
      <c r="G648" s="80">
        <f>K599</f>
        <v>795965.83000000007</v>
      </c>
      <c r="H648" s="80">
        <f>L209+L227+L245</f>
        <v>795965.83</v>
      </c>
      <c r="I648" s="87" t="s">
        <v>396</v>
      </c>
      <c r="J648" s="80">
        <f t="shared" si="51"/>
        <v>0</v>
      </c>
      <c r="K648" s="67"/>
      <c r="L648" s="69"/>
      <c r="M648" s="8"/>
    </row>
    <row r="649" spans="1:13" s="3" customFormat="1" ht="12.2" customHeight="1" x14ac:dyDescent="0.15">
      <c r="A649" s="21"/>
      <c r="B649" s="22"/>
      <c r="C649" s="22"/>
      <c r="D649" s="22"/>
      <c r="E649" s="22"/>
      <c r="F649" s="86" t="s">
        <v>52</v>
      </c>
      <c r="G649" s="80">
        <f>K606</f>
        <v>343894.72</v>
      </c>
      <c r="H649" s="80">
        <f>(J258+J339)-(J256+J337)</f>
        <v>343894.72</v>
      </c>
      <c r="I649" s="87" t="s">
        <v>699</v>
      </c>
      <c r="J649" s="80">
        <f t="shared" si="51"/>
        <v>0</v>
      </c>
      <c r="K649" s="67"/>
      <c r="L649" s="69"/>
      <c r="M649" s="8"/>
    </row>
    <row r="650" spans="1:13" s="3" customFormat="1" ht="12.2" customHeight="1" x14ac:dyDescent="0.15">
      <c r="A650" s="21"/>
      <c r="B650" s="22"/>
      <c r="C650" s="22"/>
      <c r="D650" s="22"/>
      <c r="E650" s="22"/>
      <c r="F650" s="86" t="s">
        <v>387</v>
      </c>
      <c r="G650" s="80">
        <f>L209</f>
        <v>384663.66000000003</v>
      </c>
      <c r="H650" s="80">
        <f>H599</f>
        <v>384663.66</v>
      </c>
      <c r="I650" s="87" t="s">
        <v>388</v>
      </c>
      <c r="J650" s="80">
        <f t="shared" si="51"/>
        <v>0</v>
      </c>
      <c r="K650" s="67"/>
      <c r="L650" s="69"/>
      <c r="M650" s="8"/>
    </row>
    <row r="651" spans="1:13" s="3" customFormat="1" ht="12.2" customHeight="1" x14ac:dyDescent="0.15">
      <c r="A651" s="21"/>
      <c r="B651" s="22"/>
      <c r="C651" s="22"/>
      <c r="D651" s="22"/>
      <c r="E651" s="22"/>
      <c r="F651" s="86" t="s">
        <v>392</v>
      </c>
      <c r="G651" s="80">
        <f>L227</f>
        <v>142052.86000000002</v>
      </c>
      <c r="H651" s="80">
        <f>I599</f>
        <v>142052.86000000002</v>
      </c>
      <c r="I651" s="87" t="s">
        <v>389</v>
      </c>
      <c r="J651" s="80">
        <f t="shared" si="51"/>
        <v>0</v>
      </c>
      <c r="K651" s="67"/>
      <c r="L651" s="69"/>
      <c r="M651" s="8"/>
    </row>
    <row r="652" spans="1:13" s="3" customFormat="1" ht="12.2" customHeight="1" x14ac:dyDescent="0.15">
      <c r="A652" s="21"/>
      <c r="B652" s="22"/>
      <c r="C652" s="22"/>
      <c r="D652" s="22"/>
      <c r="E652" s="22"/>
      <c r="F652" s="86" t="s">
        <v>393</v>
      </c>
      <c r="G652" s="80">
        <f>L245</f>
        <v>269249.30999999994</v>
      </c>
      <c r="H652" s="80">
        <f>J599</f>
        <v>269249.31</v>
      </c>
      <c r="I652" s="87" t="s">
        <v>390</v>
      </c>
      <c r="J652" s="80">
        <f t="shared" si="51"/>
        <v>0</v>
      </c>
      <c r="K652" s="67"/>
      <c r="L652" s="69"/>
      <c r="M652" s="8"/>
    </row>
    <row r="653" spans="1:13" s="3" customFormat="1" ht="12.2" customHeight="1" x14ac:dyDescent="0.15">
      <c r="A653" s="21"/>
      <c r="B653" s="22"/>
      <c r="C653" s="22"/>
      <c r="D653" s="22"/>
      <c r="E653" s="22"/>
      <c r="F653" s="86" t="s">
        <v>665</v>
      </c>
      <c r="G653" s="80">
        <f>G180+G182</f>
        <v>15615.28</v>
      </c>
      <c r="H653" s="80">
        <f>K264+K346</f>
        <v>15615.28</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190000</v>
      </c>
      <c r="H656" s="80">
        <f>K267+K348</f>
        <v>190000</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6872083.1799999997</v>
      </c>
      <c r="G661" s="13">
        <f>(L230+L310+L360)</f>
        <v>2779361.14</v>
      </c>
      <c r="H661" s="13">
        <f>(L248+L329+L361)</f>
        <v>3761101.4300000006</v>
      </c>
      <c r="I661" s="13">
        <f>SUM(F661:H661)</f>
        <v>13412545.75</v>
      </c>
      <c r="J661" s="13"/>
      <c r="K661" s="13"/>
      <c r="L661" s="13"/>
      <c r="M661" s="9"/>
    </row>
    <row r="662" spans="1:13" s="3" customFormat="1" ht="12.2" customHeight="1" x14ac:dyDescent="0.2">
      <c r="A662" s="1" t="s">
        <v>127</v>
      </c>
      <c r="F662" s="13">
        <f>(L359/IF(SUM(L359:L361)=0,1,SUM(L359:L361))*(SUM(G97:G110)))</f>
        <v>42014.695008785457</v>
      </c>
      <c r="G662" s="13">
        <f>(L360/IF(SUM(L359:L361)=0,1,SUM(L359:L361))*(SUM(G97:G110)))</f>
        <v>29344.762027520715</v>
      </c>
      <c r="H662" s="13">
        <f>(L361/IF(SUM(L359:L361)=0,1,SUM(L359:L361))*(SUM(G97:G110)))</f>
        <v>31776.432963693816</v>
      </c>
      <c r="I662" s="13">
        <f>SUM(F662:H662)</f>
        <v>103135.89</v>
      </c>
      <c r="J662"/>
      <c r="K662" s="13"/>
      <c r="L662" s="13"/>
      <c r="M662" s="8"/>
    </row>
    <row r="663" spans="1:13" s="3" customFormat="1" ht="12.2" customHeight="1" x14ac:dyDescent="0.2">
      <c r="A663" s="1" t="s">
        <v>128</v>
      </c>
      <c r="F663" s="13">
        <f>(L209+L288)-(J209+J288)</f>
        <v>398840.92000000004</v>
      </c>
      <c r="G663" s="13">
        <f>(L227+L307)-(J227+J307)</f>
        <v>142052.86000000002</v>
      </c>
      <c r="H663" s="13">
        <f>(L245+L326)-(J245+J326)</f>
        <v>269249.30999999994</v>
      </c>
      <c r="I663" s="13">
        <f>SUM(F663:H663)</f>
        <v>810143.09</v>
      </c>
      <c r="J663"/>
      <c r="K663" s="13"/>
      <c r="L663" s="13"/>
      <c r="M663" s="9"/>
    </row>
    <row r="664" spans="1:13" s="3" customFormat="1" ht="12.2" customHeight="1" x14ac:dyDescent="0.15">
      <c r="A664" s="141" t="s">
        <v>129</v>
      </c>
      <c r="B664" s="124"/>
      <c r="C664" s="124"/>
      <c r="D664" s="124"/>
      <c r="E664" s="124"/>
      <c r="F664" s="142">
        <f>SUM(F576:F588)+SUM(H603:H605)+SUM(L612)</f>
        <v>365178.19</v>
      </c>
      <c r="G664" s="142">
        <f>SUM(G576:G588)+SUM(I603:I605)+L613</f>
        <v>186859.74</v>
      </c>
      <c r="H664" s="142">
        <f>SUM(H576:H588)+SUM(J603:J605)+L614</f>
        <v>383445.19</v>
      </c>
      <c r="I664" s="13">
        <f>SUM(F664:H664)</f>
        <v>935483.11999999988</v>
      </c>
      <c r="J664" s="13"/>
      <c r="K664" s="13"/>
      <c r="L664" s="13"/>
      <c r="M664" s="9"/>
    </row>
    <row r="665" spans="1:13" s="3" customFormat="1" ht="12.2" customHeight="1" x14ac:dyDescent="0.15">
      <c r="A665" s="1" t="s">
        <v>130</v>
      </c>
      <c r="F665" s="13">
        <f>F661-SUM(F662:F664)</f>
        <v>6066049.3749912139</v>
      </c>
      <c r="G665" s="13">
        <f>G661-SUM(G662:G664)</f>
        <v>2421103.7779724794</v>
      </c>
      <c r="H665" s="13">
        <f>H661-SUM(H662:H664)</f>
        <v>3076630.4970363071</v>
      </c>
      <c r="I665" s="13">
        <f>I661-SUM(I662:I664)</f>
        <v>11563783.65</v>
      </c>
      <c r="J665" s="13"/>
      <c r="K665" s="13"/>
      <c r="L665" s="13"/>
      <c r="M665" s="8"/>
    </row>
    <row r="666" spans="1:13" s="3" customFormat="1" ht="12.2" customHeight="1" x14ac:dyDescent="0.2">
      <c r="A666" s="1" t="s">
        <v>131</v>
      </c>
      <c r="F666" s="182">
        <v>284.58999999999997</v>
      </c>
      <c r="G666" s="183">
        <v>119.3</v>
      </c>
      <c r="H666" s="183">
        <v>133.66999999999999</v>
      </c>
      <c r="I666" s="13">
        <f>SUM(F666:H666)</f>
        <v>537.55999999999995</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21315.05</v>
      </c>
      <c r="G668" s="13">
        <f>ROUND(G665/G666,2)</f>
        <v>20294.25</v>
      </c>
      <c r="H668" s="13">
        <f>ROUND(H665/H666,2)</f>
        <v>23016.61</v>
      </c>
      <c r="I668" s="13">
        <f>ROUND(I665/I666,2)</f>
        <v>21511.61</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t="str">
        <f t="shared" si="52"/>
        <v/>
      </c>
      <c r="H670" s="73" t="str">
        <f t="shared" si="52"/>
        <v/>
      </c>
      <c r="I670" s="13">
        <f>SUM(F670:H670)</f>
        <v>0</v>
      </c>
      <c r="J670" s="13"/>
      <c r="K670" s="13"/>
      <c r="L670" s="13"/>
      <c r="M670" s="9"/>
    </row>
    <row r="671" spans="1:13" s="3" customFormat="1" ht="12.2" customHeight="1" x14ac:dyDescent="0.15">
      <c r="A671" s="1" t="s">
        <v>135</v>
      </c>
      <c r="F671" s="18"/>
      <c r="G671" s="18"/>
      <c r="H671" s="18">
        <v>-2.17</v>
      </c>
      <c r="I671" s="13">
        <f>SUM(F671:H671)</f>
        <v>-2.17</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21315.05</v>
      </c>
      <c r="G673" s="13">
        <f>ROUND((G665+G670)/(G666+G671),2)</f>
        <v>20294.25</v>
      </c>
      <c r="H673" s="13">
        <f>ROUND((H665+H670)/(H666+H671),2)</f>
        <v>23396.43</v>
      </c>
      <c r="I673" s="13">
        <f>ROUND((I665+I670)/(I666+I671),2)</f>
        <v>21598.799999999999</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KHaGrWEPAX/RtWZHn/Y984+KZQGHx+IYGav/O7Jx79ujhpthpgs9bLl3gfe4iL7yDOhfU21X1vXKjOuoY/Vj0A==" saltValue="jkRPdkB7FMYVkKoJNGGTSQ=="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0" sqref="E10"/>
    </sheetView>
  </sheetViews>
  <sheetFormatPr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33622.67</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v>33622.67</v>
      </c>
      <c r="F9" s="271" t="s">
        <v>1612</v>
      </c>
    </row>
    <row r="10" spans="2:8" x14ac:dyDescent="0.25">
      <c r="B10" s="270"/>
      <c r="C10" s="270"/>
      <c r="D10" s="270"/>
      <c r="E10" s="270"/>
      <c r="F10" s="270"/>
    </row>
    <row r="11" spans="2:8" x14ac:dyDescent="0.25">
      <c r="B11" s="270"/>
      <c r="C11" s="274" t="s">
        <v>1616</v>
      </c>
      <c r="D11" s="271" t="s">
        <v>1619</v>
      </c>
      <c r="E11" s="259"/>
      <c r="F11" s="271" t="s">
        <v>1613</v>
      </c>
    </row>
    <row r="12" spans="2:8" x14ac:dyDescent="0.25">
      <c r="B12" s="270"/>
      <c r="C12" s="270"/>
      <c r="D12" s="271"/>
      <c r="E12" s="270"/>
      <c r="F12" s="270"/>
    </row>
    <row r="13" spans="2:8" x14ac:dyDescent="0.25">
      <c r="B13" s="270"/>
      <c r="C13" s="271" t="s">
        <v>1606</v>
      </c>
      <c r="D13" s="271" t="s">
        <v>1620</v>
      </c>
      <c r="E13" s="259"/>
      <c r="F13" s="271" t="s">
        <v>1614</v>
      </c>
    </row>
    <row r="14" spans="2:8" x14ac:dyDescent="0.25">
      <c r="B14" s="270"/>
      <c r="C14" s="270"/>
      <c r="D14" s="271"/>
      <c r="E14" s="270"/>
      <c r="F14" s="270"/>
    </row>
    <row r="15" spans="2:8" x14ac:dyDescent="0.25">
      <c r="B15" s="270"/>
      <c r="C15" s="271" t="s">
        <v>1608</v>
      </c>
      <c r="D15" s="271" t="s">
        <v>1621</v>
      </c>
      <c r="E15" s="259"/>
      <c r="F15" s="271" t="s">
        <v>1615</v>
      </c>
    </row>
    <row r="16" spans="2:8" x14ac:dyDescent="0.25">
      <c r="B16" s="270"/>
      <c r="C16" s="270"/>
      <c r="D16" s="270"/>
      <c r="E16" s="270"/>
      <c r="F16" s="270"/>
    </row>
    <row r="17" spans="2:8" x14ac:dyDescent="0.25">
      <c r="B17" s="270"/>
      <c r="C17" s="271" t="s">
        <v>1607</v>
      </c>
      <c r="D17" s="271" t="s">
        <v>1622</v>
      </c>
      <c r="E17" s="259"/>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t="s">
        <v>1594</v>
      </c>
      <c r="C3" s="242"/>
      <c r="D3" s="242"/>
      <c r="E3" s="242"/>
      <c r="F3" s="242"/>
      <c r="G3" s="242"/>
      <c r="H3" s="242"/>
      <c r="I3" t="s">
        <v>1593</v>
      </c>
    </row>
    <row r="4" spans="1:9" x14ac:dyDescent="0.2">
      <c r="I4" t="s">
        <v>1594</v>
      </c>
    </row>
    <row r="5" spans="1:9" ht="15.75" x14ac:dyDescent="0.25">
      <c r="A5" s="238" t="s">
        <v>897</v>
      </c>
      <c r="B5" s="320" t="str">
        <f>'DOE25'!A2</f>
        <v>Wilton-Lyndeborough Cooperative</v>
      </c>
      <c r="C5" s="321"/>
      <c r="D5" s="321"/>
      <c r="E5" s="321"/>
      <c r="F5" s="321"/>
    </row>
    <row r="8" spans="1:9" ht="18" x14ac:dyDescent="0.25">
      <c r="A8" s="239" t="s">
        <v>1548</v>
      </c>
      <c r="F8" s="246" t="s">
        <v>1566</v>
      </c>
    </row>
    <row r="9" spans="1:9" ht="15" x14ac:dyDescent="0.2">
      <c r="A9" s="237" t="s">
        <v>1549</v>
      </c>
      <c r="B9" s="240">
        <f>'DOE25'!G97</f>
        <v>103099.76</v>
      </c>
      <c r="F9" s="237" t="s">
        <v>1562</v>
      </c>
    </row>
    <row r="10" spans="1:9" ht="15" x14ac:dyDescent="0.2">
      <c r="A10" s="237" t="s">
        <v>1550</v>
      </c>
      <c r="B10" s="240">
        <f>'DOE25'!G112-'DOE25'!G97</f>
        <v>36.130000000004657</v>
      </c>
      <c r="F10" s="237" t="s">
        <v>1563</v>
      </c>
    </row>
    <row r="11" spans="1:9" ht="15" x14ac:dyDescent="0.2">
      <c r="A11" s="237" t="s">
        <v>1551</v>
      </c>
      <c r="B11" s="240">
        <f>'DOE25'!G140</f>
        <v>4030.6</v>
      </c>
      <c r="F11" s="237" t="s">
        <v>1564</v>
      </c>
    </row>
    <row r="12" spans="1:9" ht="15" x14ac:dyDescent="0.2">
      <c r="A12" s="237" t="s">
        <v>1552</v>
      </c>
      <c r="B12" s="240">
        <f>'DOE25'!G170</f>
        <v>56896.45</v>
      </c>
      <c r="F12" s="237" t="s">
        <v>1565</v>
      </c>
    </row>
    <row r="13" spans="1:9" ht="15" x14ac:dyDescent="0.2">
      <c r="A13" s="237" t="s">
        <v>1553</v>
      </c>
      <c r="B13" s="240">
        <f>'DOE25'!G193-'DOE25'!G180</f>
        <v>0</v>
      </c>
      <c r="F13" s="237" t="s">
        <v>1575</v>
      </c>
    </row>
    <row r="14" spans="1:9" ht="18" x14ac:dyDescent="0.25">
      <c r="A14" s="239" t="s">
        <v>732</v>
      </c>
      <c r="B14" s="241">
        <f>SUM(B9:B13)</f>
        <v>164062.94</v>
      </c>
    </row>
    <row r="16" spans="1:9" ht="18" x14ac:dyDescent="0.25">
      <c r="A16" s="239" t="s">
        <v>783</v>
      </c>
      <c r="F16" s="246" t="s">
        <v>1567</v>
      </c>
    </row>
    <row r="17" spans="1:6" ht="15" x14ac:dyDescent="0.2">
      <c r="A17" s="237" t="s">
        <v>1554</v>
      </c>
      <c r="B17" s="240">
        <f>'DOE25'!L363-'DOE25'!L362</f>
        <v>387219.52000000008</v>
      </c>
      <c r="F17" s="237" t="s">
        <v>1568</v>
      </c>
    </row>
    <row r="18" spans="1:6" ht="15" x14ac:dyDescent="0.2">
      <c r="A18" s="237" t="s">
        <v>1555</v>
      </c>
      <c r="B18" s="250"/>
      <c r="F18" s="246" t="s">
        <v>1592</v>
      </c>
    </row>
    <row r="19" spans="1:6" ht="18" x14ac:dyDescent="0.25">
      <c r="A19" s="239" t="s">
        <v>725</v>
      </c>
      <c r="B19" s="241">
        <f>SUM(B17:B18)</f>
        <v>387219.52000000008</v>
      </c>
    </row>
    <row r="21" spans="1:6" ht="18.75" thickBot="1" x14ac:dyDescent="0.3">
      <c r="A21" s="239" t="s">
        <v>1556</v>
      </c>
    </row>
    <row r="22" spans="1:6" ht="18.75" thickTop="1" x14ac:dyDescent="0.25">
      <c r="A22" s="239" t="s">
        <v>1557</v>
      </c>
      <c r="B22" s="245">
        <f>B14-B19</f>
        <v>-223156.58000000007</v>
      </c>
      <c r="F22" s="237" t="s">
        <v>1569</v>
      </c>
    </row>
    <row r="26" spans="1:6" ht="18" x14ac:dyDescent="0.25">
      <c r="A26" s="239" t="s">
        <v>186</v>
      </c>
    </row>
    <row r="27" spans="1:6" ht="15" x14ac:dyDescent="0.2">
      <c r="A27" s="237" t="s">
        <v>1558</v>
      </c>
      <c r="B27" s="240">
        <f>'DOE25'!G180</f>
        <v>15615.28</v>
      </c>
      <c r="F27" s="237" t="s">
        <v>1570</v>
      </c>
    </row>
    <row r="28" spans="1:6" ht="15" x14ac:dyDescent="0.2">
      <c r="A28" s="237" t="s">
        <v>1560</v>
      </c>
      <c r="B28" s="240">
        <f>'DOE25'!L362</f>
        <v>0</v>
      </c>
      <c r="F28" s="237" t="s">
        <v>1571</v>
      </c>
    </row>
    <row r="31" spans="1:6" ht="15" x14ac:dyDescent="0.2">
      <c r="A31" s="237" t="s">
        <v>1789</v>
      </c>
      <c r="B31" s="240">
        <f>'DOE25'!G466</f>
        <v>23431.73</v>
      </c>
      <c r="F31" s="237" t="s">
        <v>1572</v>
      </c>
    </row>
    <row r="33" spans="1:6" ht="15" x14ac:dyDescent="0.2">
      <c r="A33" s="237" t="s">
        <v>1790</v>
      </c>
      <c r="B33" s="240">
        <f>'DOE25'!G477</f>
        <v>-183949.67</v>
      </c>
      <c r="F33" s="237" t="s">
        <v>1573</v>
      </c>
    </row>
    <row r="36" spans="1:6" ht="15" x14ac:dyDescent="0.2">
      <c r="A36" s="237" t="s">
        <v>1559</v>
      </c>
      <c r="B36" s="251">
        <v>787.5</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B10" sqref="B10"/>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Wilton-Lyndeborough Cooperative</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2638794.77</v>
      </c>
      <c r="C9" s="166">
        <f>'DOE25'!G198+'DOE25'!G216+'DOE25'!G234+'DOE25'!G277+'DOE25'!G296+'DOE25'!G315</f>
        <v>1160514.5</v>
      </c>
    </row>
    <row r="10" spans="1:3" x14ac:dyDescent="0.2">
      <c r="A10" t="s">
        <v>772</v>
      </c>
      <c r="B10" s="176">
        <v>2394417</v>
      </c>
      <c r="C10" s="176">
        <v>1135179.31</v>
      </c>
    </row>
    <row r="11" spans="1:3" x14ac:dyDescent="0.2">
      <c r="A11" t="s">
        <v>773</v>
      </c>
      <c r="B11" s="176">
        <v>50342.55</v>
      </c>
      <c r="C11" s="176">
        <v>8106.07</v>
      </c>
    </row>
    <row r="12" spans="1:3" x14ac:dyDescent="0.2">
      <c r="A12" t="s">
        <v>774</v>
      </c>
      <c r="B12" s="176">
        <v>194035.22</v>
      </c>
      <c r="C12" s="176">
        <v>17229.12</v>
      </c>
    </row>
    <row r="13" spans="1:3" x14ac:dyDescent="0.2">
      <c r="A13" t="str">
        <f>IF(B9=B13,IF(C9=C13,"Check Total OK","Check Total Error"),"Check Total Error")</f>
        <v>Check Total OK</v>
      </c>
      <c r="B13" s="168">
        <f>SUM(B10:B12)</f>
        <v>2638794.77</v>
      </c>
      <c r="C13" s="168">
        <f>SUM(C10:C12)</f>
        <v>1160514.5000000002</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709798.5</v>
      </c>
      <c r="C18" s="166">
        <f>'DOE25'!G199+'DOE25'!G217+'DOE25'!G235+'DOE25'!G278+'DOE25'!G297+'DOE25'!G316</f>
        <v>294809.14</v>
      </c>
    </row>
    <row r="19" spans="1:3" x14ac:dyDescent="0.2">
      <c r="A19" t="s">
        <v>772</v>
      </c>
      <c r="B19" s="176">
        <v>370655.13</v>
      </c>
      <c r="C19" s="176">
        <v>206637.12</v>
      </c>
    </row>
    <row r="20" spans="1:3" x14ac:dyDescent="0.2">
      <c r="A20" t="s">
        <v>773</v>
      </c>
      <c r="B20" s="176">
        <v>241412.37</v>
      </c>
      <c r="C20" s="176">
        <v>68405.100000000006</v>
      </c>
    </row>
    <row r="21" spans="1:3" x14ac:dyDescent="0.2">
      <c r="A21" t="s">
        <v>774</v>
      </c>
      <c r="B21" s="176">
        <v>97731</v>
      </c>
      <c r="C21" s="176">
        <v>19766.919999999998</v>
      </c>
    </row>
    <row r="22" spans="1:3" x14ac:dyDescent="0.2">
      <c r="A22" t="str">
        <f>IF(B18=B22,IF(C18=C22,"Check Total OK","Check Total Error"),"Check Total Error")</f>
        <v>Check Total OK</v>
      </c>
      <c r="B22" s="168">
        <f>SUM(B19:B21)</f>
        <v>709798.5</v>
      </c>
      <c r="C22" s="168">
        <f>SUM(C19:C21)</f>
        <v>294809.13999999996</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v>0</v>
      </c>
      <c r="C28" s="176">
        <v>0</v>
      </c>
    </row>
    <row r="29" spans="1:3" x14ac:dyDescent="0.2">
      <c r="A29" t="s">
        <v>773</v>
      </c>
      <c r="B29" s="176">
        <v>0</v>
      </c>
      <c r="C29" s="176">
        <v>0</v>
      </c>
    </row>
    <row r="30" spans="1:3" x14ac:dyDescent="0.2">
      <c r="A30" t="s">
        <v>774</v>
      </c>
      <c r="B30" s="176">
        <v>0</v>
      </c>
      <c r="C30" s="176">
        <v>0</v>
      </c>
    </row>
    <row r="31" spans="1:3" x14ac:dyDescent="0.2">
      <c r="A31" t="str">
        <f>IF(B27=B31,IF(C27=C31,"Check Total OK","Check Total Error"),"Check Total Error")</f>
        <v>Check Total OK</v>
      </c>
      <c r="B31" s="168">
        <f>SUM(B28:B30)</f>
        <v>0</v>
      </c>
      <c r="C31" s="168">
        <f>SUM(C28:C30)</f>
        <v>0</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125710.73999999999</v>
      </c>
      <c r="C36" s="172">
        <f>'DOE25'!G201+'DOE25'!G219+'DOE25'!G237+'DOE25'!G280+'DOE25'!G299+'DOE25'!G318</f>
        <v>24582.399999999998</v>
      </c>
    </row>
    <row r="37" spans="1:3" x14ac:dyDescent="0.2">
      <c r="A37" t="s">
        <v>772</v>
      </c>
      <c r="B37" s="176">
        <v>0</v>
      </c>
      <c r="C37" s="176">
        <v>0</v>
      </c>
    </row>
    <row r="38" spans="1:3" x14ac:dyDescent="0.2">
      <c r="A38" t="s">
        <v>773</v>
      </c>
      <c r="B38" s="176">
        <v>0</v>
      </c>
      <c r="C38" s="176">
        <v>0</v>
      </c>
    </row>
    <row r="39" spans="1:3" x14ac:dyDescent="0.2">
      <c r="A39" t="s">
        <v>774</v>
      </c>
      <c r="B39" s="176">
        <v>125710.74</v>
      </c>
      <c r="C39" s="176">
        <v>24582.400000000001</v>
      </c>
    </row>
    <row r="40" spans="1:3" x14ac:dyDescent="0.2">
      <c r="A40" t="str">
        <f>IF(B36=B40,IF(C36=C40,"Check Total OK","Check Total Error"),"Check Total Error")</f>
        <v>Check Total OK</v>
      </c>
      <c r="B40" s="168">
        <f>SUM(B37:B39)</f>
        <v>125710.74</v>
      </c>
      <c r="C40" s="168">
        <f>SUM(C37:C39)</f>
        <v>24582.400000000001</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Normal="100" workbookViewId="0">
      <pane ySplit="4" topLeftCell="A5" activePane="bottomLeft" state="frozen"/>
      <selection activeCell="F46" sqref="F46"/>
      <selection pane="bottomLeft" activeCell="D12" sqref="D12"/>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4" t="s">
        <v>886</v>
      </c>
      <c r="B1" s="327"/>
      <c r="C1" s="327"/>
      <c r="D1" s="327"/>
      <c r="E1" s="327"/>
      <c r="F1" s="327"/>
      <c r="G1" s="327"/>
      <c r="H1" s="327"/>
      <c r="I1" s="130"/>
    </row>
    <row r="2" spans="1:9" x14ac:dyDescent="0.2">
      <c r="A2" s="32" t="s">
        <v>713</v>
      </c>
      <c r="B2" s="195" t="str">
        <f>'DOE25'!A2</f>
        <v>Wilton-Lyndeborough Cooperative</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5633032.8799999999</v>
      </c>
      <c r="D5" s="19">
        <f>SUM('DOE25'!L198:L201)+SUM('DOE25'!L216:L219)+SUM('DOE25'!L234:L237)-F5-G5-H5</f>
        <v>5487140.5299999993</v>
      </c>
      <c r="E5" s="179"/>
      <c r="F5" s="180">
        <v>0</v>
      </c>
      <c r="G5" s="19">
        <f>SUM('DOE25'!J198:J201)+SUM('DOE25'!J216:J219)+SUM('DOE25'!J234:J237)</f>
        <v>97236.95</v>
      </c>
      <c r="H5" s="19">
        <f>SUM('DOE25'!K198:K201)+SUM('DOE25'!K216:K219)+SUM('DOE25'!K234:K237)</f>
        <v>48655.399999999994</v>
      </c>
      <c r="I5" s="191"/>
    </row>
    <row r="6" spans="1:9" x14ac:dyDescent="0.2">
      <c r="A6" s="31">
        <v>2100</v>
      </c>
      <c r="B6" t="s">
        <v>793</v>
      </c>
      <c r="C6" s="205">
        <f t="shared" si="0"/>
        <v>2374182.9299999997</v>
      </c>
      <c r="D6" s="19">
        <f>'DOE25'!L203+'DOE25'!L221+'DOE25'!L239-F6-G6-H6</f>
        <v>2369657.8299999996</v>
      </c>
      <c r="E6" s="179"/>
      <c r="F6" s="180">
        <v>0</v>
      </c>
      <c r="G6" s="19">
        <f>'DOE25'!J203+'DOE25'!J221+'DOE25'!J239</f>
        <v>4212.1000000000004</v>
      </c>
      <c r="H6" s="19">
        <f>'DOE25'!K203+'DOE25'!K221+'DOE25'!K239</f>
        <v>313</v>
      </c>
      <c r="I6" s="191"/>
    </row>
    <row r="7" spans="1:9" x14ac:dyDescent="0.2">
      <c r="A7" s="31">
        <v>2200</v>
      </c>
      <c r="B7" t="s">
        <v>817</v>
      </c>
      <c r="C7" s="205">
        <f t="shared" si="0"/>
        <v>293492.92000000004</v>
      </c>
      <c r="D7" s="19">
        <f>'DOE25'!L204+'DOE25'!L222+'DOE25'!L240-F7-G7-H7</f>
        <v>293228.91000000003</v>
      </c>
      <c r="E7" s="179"/>
      <c r="F7" s="180">
        <v>0</v>
      </c>
      <c r="G7" s="19">
        <f>'DOE25'!J204+'DOE25'!J222+'DOE25'!J240</f>
        <v>0</v>
      </c>
      <c r="H7" s="19">
        <f>'DOE25'!K204+'DOE25'!K222+'DOE25'!K240</f>
        <v>264.01</v>
      </c>
      <c r="I7" s="191"/>
    </row>
    <row r="8" spans="1:9" x14ac:dyDescent="0.2">
      <c r="A8" s="31">
        <v>2300</v>
      </c>
      <c r="B8" t="s">
        <v>794</v>
      </c>
      <c r="C8" s="205">
        <f t="shared" si="0"/>
        <v>489090.10000000003</v>
      </c>
      <c r="D8" s="179"/>
      <c r="E8" s="19">
        <f>'DOE25'!L205+'DOE25'!L223+'DOE25'!L241-F8-G8-H8-D9-D11</f>
        <v>482102.04000000004</v>
      </c>
      <c r="F8" s="180">
        <v>0</v>
      </c>
      <c r="G8" s="19">
        <f>'DOE25'!J205+'DOE25'!J223+'DOE25'!J241</f>
        <v>0</v>
      </c>
      <c r="H8" s="19">
        <f>'DOE25'!K205+'DOE25'!K223+'DOE25'!K241</f>
        <v>6988.0599999999995</v>
      </c>
      <c r="I8" s="191"/>
    </row>
    <row r="9" spans="1:9" ht="14.25" x14ac:dyDescent="0.2">
      <c r="A9" s="31">
        <v>2310</v>
      </c>
      <c r="B9" s="71" t="s">
        <v>884</v>
      </c>
      <c r="C9" s="205">
        <f t="shared" si="0"/>
        <v>5033.87</v>
      </c>
      <c r="D9" s="180">
        <v>5033.87</v>
      </c>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825686.32000000007</v>
      </c>
      <c r="D12" s="19">
        <f>'DOE25'!L206+'DOE25'!L224+'DOE25'!L242-F12-G12-H12</f>
        <v>810550.57000000007</v>
      </c>
      <c r="E12" s="179"/>
      <c r="F12" s="180">
        <v>0</v>
      </c>
      <c r="G12" s="19">
        <f>'DOE25'!J206+'DOE25'!J224+'DOE25'!J242</f>
        <v>0</v>
      </c>
      <c r="H12" s="19">
        <f>'DOE25'!K206+'DOE25'!K224+'DOE25'!K242</f>
        <v>15135.75</v>
      </c>
      <c r="I12" s="191"/>
    </row>
    <row r="13" spans="1:9" x14ac:dyDescent="0.2">
      <c r="A13" s="31">
        <v>2500</v>
      </c>
      <c r="B13" t="s">
        <v>795</v>
      </c>
      <c r="C13" s="205">
        <f t="shared" si="0"/>
        <v>277125.92000000004</v>
      </c>
      <c r="D13" s="179"/>
      <c r="E13" s="19">
        <f>'DOE25'!L207+'DOE25'!L225+'DOE25'!L243-F13-G13-H13</f>
        <v>276587.35000000003</v>
      </c>
      <c r="F13" s="180">
        <v>0</v>
      </c>
      <c r="G13" s="19">
        <f>'DOE25'!J207+'DOE25'!J225+'DOE25'!J243</f>
        <v>0</v>
      </c>
      <c r="H13" s="19">
        <f>'DOE25'!K207+'DOE25'!K225+'DOE25'!K243</f>
        <v>538.56999999999994</v>
      </c>
      <c r="I13" s="191"/>
    </row>
    <row r="14" spans="1:9" x14ac:dyDescent="0.2">
      <c r="A14" s="31">
        <v>2600</v>
      </c>
      <c r="B14" t="s">
        <v>815</v>
      </c>
      <c r="C14" s="205">
        <f t="shared" si="0"/>
        <v>1316058.29</v>
      </c>
      <c r="D14" s="19">
        <f>'DOE25'!L208+'DOE25'!L226+'DOE25'!L244-F14-G14-H14</f>
        <v>1283942.27</v>
      </c>
      <c r="E14" s="179"/>
      <c r="F14" s="180">
        <v>0</v>
      </c>
      <c r="G14" s="19">
        <f>'DOE25'!J208+'DOE25'!J226+'DOE25'!J244</f>
        <v>32116.020000000004</v>
      </c>
      <c r="H14" s="19">
        <f>'DOE25'!K208+'DOE25'!K226+'DOE25'!K244</f>
        <v>0</v>
      </c>
      <c r="I14" s="191"/>
    </row>
    <row r="15" spans="1:9" x14ac:dyDescent="0.2">
      <c r="A15" s="31">
        <v>2700</v>
      </c>
      <c r="B15" t="s">
        <v>796</v>
      </c>
      <c r="C15" s="205">
        <f t="shared" si="0"/>
        <v>795965.83</v>
      </c>
      <c r="D15" s="19">
        <f>'DOE25'!L209+'DOE25'!L227+'DOE25'!L245-F15-G15-H15</f>
        <v>101171.57999999996</v>
      </c>
      <c r="E15" s="179"/>
      <c r="F15" s="180">
        <v>694794.25</v>
      </c>
      <c r="G15" s="19">
        <f>'DOE25'!J209+'DOE25'!J227+'DOE25'!J245</f>
        <v>0</v>
      </c>
      <c r="H15" s="19">
        <f>'DOE25'!K209+'DOE25'!K227+'DOE25'!K245</f>
        <v>0</v>
      </c>
      <c r="I15" s="191"/>
    </row>
    <row r="16" spans="1:9" x14ac:dyDescent="0.2">
      <c r="A16" s="31">
        <v>2800</v>
      </c>
      <c r="B16" t="s">
        <v>797</v>
      </c>
      <c r="C16" s="205">
        <f t="shared" si="0"/>
        <v>403495.74000000005</v>
      </c>
      <c r="D16" s="179"/>
      <c r="E16" s="19">
        <f>'DOE25'!L210+'DOE25'!L228+'DOE25'!L246-F16-G16-H16</f>
        <v>398939.55000000005</v>
      </c>
      <c r="F16" s="180">
        <v>0</v>
      </c>
      <c r="G16" s="19">
        <f>'DOE25'!J210+'DOE25'!J228+'DOE25'!J246</f>
        <v>3456.7</v>
      </c>
      <c r="H16" s="19">
        <f>'DOE25'!K210+'DOE25'!K228+'DOE25'!K246</f>
        <v>1099.4899999999998</v>
      </c>
      <c r="I16" s="191"/>
    </row>
    <row r="17" spans="1:9" x14ac:dyDescent="0.2">
      <c r="A17" s="31">
        <v>1600</v>
      </c>
      <c r="B17" t="s">
        <v>798</v>
      </c>
      <c r="C17" s="205">
        <f t="shared" si="0"/>
        <v>0</v>
      </c>
      <c r="D17" s="19">
        <f>'DOE25'!L252-F17-G17-H17</f>
        <v>0</v>
      </c>
      <c r="E17" s="179"/>
      <c r="F17" s="180">
        <v>0</v>
      </c>
      <c r="G17" s="19">
        <f>'DOE25'!J252</f>
        <v>0</v>
      </c>
      <c r="H17" s="19">
        <f>'DOE25'!K252</f>
        <v>0</v>
      </c>
      <c r="I17" s="191"/>
    </row>
    <row r="18" spans="1:9" x14ac:dyDescent="0.2">
      <c r="A18" s="31">
        <v>1700</v>
      </c>
      <c r="B18" t="s">
        <v>799</v>
      </c>
      <c r="C18" s="205">
        <f t="shared" si="0"/>
        <v>0</v>
      </c>
      <c r="D18" s="19">
        <f>'DOE25'!L253-F18-G18-H18</f>
        <v>0</v>
      </c>
      <c r="E18" s="179"/>
      <c r="F18" s="180">
        <v>0</v>
      </c>
      <c r="G18" s="19">
        <f>'DOE25'!J253</f>
        <v>0</v>
      </c>
      <c r="H18" s="19">
        <f>'DOE25'!K253</f>
        <v>0</v>
      </c>
      <c r="I18" s="191"/>
    </row>
    <row r="19" spans="1:9" x14ac:dyDescent="0.2">
      <c r="A19" s="31">
        <v>1800</v>
      </c>
      <c r="B19" t="s">
        <v>800</v>
      </c>
      <c r="C19" s="205">
        <f t="shared" si="0"/>
        <v>0</v>
      </c>
      <c r="D19" s="19">
        <f>'DOE25'!L254-F19-G19-H19</f>
        <v>0</v>
      </c>
      <c r="E19" s="179"/>
      <c r="F19" s="180">
        <v>0</v>
      </c>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0</v>
      </c>
      <c r="D22" s="179"/>
      <c r="E22" s="179"/>
      <c r="F22" s="179"/>
      <c r="G22" s="19">
        <f>'DOE25'!L256+'DOE25'!L337</f>
        <v>0</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604590</v>
      </c>
      <c r="D25" s="179"/>
      <c r="E25" s="179"/>
      <c r="F25" s="190"/>
      <c r="G25" s="179"/>
      <c r="H25" s="179"/>
      <c r="I25" s="189">
        <f>'DOE25'!L261+'DOE25'!L262+'DOE25'!L342+'DOE25'!L343</f>
        <v>604590</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252195.82000000007</v>
      </c>
      <c r="D29" s="211">
        <f>'DOE25'!L359+'DOE25'!L360+'DOE25'!L361-'DOE25'!I368-F29-G29-H29-F39</f>
        <v>249460.88000000006</v>
      </c>
      <c r="E29" s="179"/>
      <c r="F29" s="179"/>
      <c r="G29" s="19">
        <f>'DOE25'!J359+'DOE25'!J360+'DOE25'!J361</f>
        <v>810.99</v>
      </c>
      <c r="H29" s="19">
        <f>'DOE25'!K359+'DOE25'!K360+'DOE25'!K361</f>
        <v>1923.9499999999998</v>
      </c>
      <c r="I29" s="191"/>
    </row>
    <row r="30" spans="1:9" x14ac:dyDescent="0.2">
      <c r="A30" s="31"/>
      <c r="C30" s="206"/>
      <c r="D30" s="19"/>
      <c r="F30" s="200"/>
      <c r="G30" s="19"/>
      <c r="H30" s="19"/>
      <c r="I30" s="191"/>
    </row>
    <row r="31" spans="1:9" x14ac:dyDescent="0.2">
      <c r="A31" s="31" t="s">
        <v>814</v>
      </c>
      <c r="B31" t="s">
        <v>813</v>
      </c>
      <c r="C31" s="205">
        <f>SUM(D31:I31)</f>
        <v>612161.43000000005</v>
      </c>
      <c r="D31" s="19">
        <f>'DOE25'!L291+'DOE25'!L310+'DOE25'!L329+'DOE25'!L334+'DOE25'!L335+'DOE25'!L336-F31-G31-H31</f>
        <v>400471.80999999994</v>
      </c>
      <c r="E31" s="179"/>
      <c r="F31" s="180">
        <v>0</v>
      </c>
      <c r="G31" s="19">
        <f>'DOE25'!J291+'DOE25'!J310+'DOE25'!J329+'DOE25'!J334+'DOE25'!J335+'DOE25'!J336</f>
        <v>206872.95</v>
      </c>
      <c r="H31" s="19">
        <f>'DOE25'!K291+'DOE25'!K310+'DOE25'!K329+'DOE25'!K334+'DOE25'!K335+'DOE25'!K336</f>
        <v>4816.67</v>
      </c>
      <c r="I31" s="191"/>
    </row>
    <row r="32" spans="1:9" ht="12" thickBot="1" x14ac:dyDescent="0.25">
      <c r="C32" s="206"/>
      <c r="G32" s="187"/>
      <c r="H32" s="187"/>
      <c r="I32" s="193"/>
    </row>
    <row r="33" spans="1:9" ht="12" thickTop="1" x14ac:dyDescent="0.2">
      <c r="B33" t="s">
        <v>806</v>
      </c>
      <c r="D33" s="181">
        <f t="shared" ref="D33:I33" si="1">SUM(D5:D31)</f>
        <v>11000658.25</v>
      </c>
      <c r="E33" s="181">
        <f t="shared" si="1"/>
        <v>1157628.9400000002</v>
      </c>
      <c r="F33" s="181">
        <f t="shared" si="1"/>
        <v>694794.25</v>
      </c>
      <c r="G33" s="181">
        <f t="shared" si="1"/>
        <v>344705.71</v>
      </c>
      <c r="H33" s="181">
        <f t="shared" si="1"/>
        <v>79734.900000000009</v>
      </c>
      <c r="I33" s="181">
        <f t="shared" si="1"/>
        <v>604590</v>
      </c>
    </row>
    <row r="34" spans="1:9" ht="12" thickBot="1" x14ac:dyDescent="0.25"/>
    <row r="35" spans="1:9" ht="12" thickBot="1" x14ac:dyDescent="0.25">
      <c r="B35" s="187" t="s">
        <v>827</v>
      </c>
      <c r="D35" s="188">
        <f>E33</f>
        <v>1157628.9400000002</v>
      </c>
      <c r="E35" s="184"/>
      <c r="F35" s="294" t="s">
        <v>1596</v>
      </c>
      <c r="G35" s="295"/>
      <c r="H35" s="295"/>
      <c r="I35" s="296"/>
    </row>
    <row r="36" spans="1:9" ht="12" thickTop="1" x14ac:dyDescent="0.2">
      <c r="B36" t="s">
        <v>807</v>
      </c>
      <c r="D36" s="19">
        <f>D33</f>
        <v>11000658.25</v>
      </c>
      <c r="F36" s="297" t="s">
        <v>1593</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10000</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disablePrompts="1"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zoomScale="130" zoomScaleNormal="130" workbookViewId="0">
      <selection activeCell="C12" sqref="C12"/>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29" t="s">
        <v>1802</v>
      </c>
      <c r="P1" s="330"/>
      <c r="Q1" s="330"/>
      <c r="R1" s="330"/>
      <c r="S1" s="330"/>
      <c r="T1" s="330"/>
      <c r="U1" s="330"/>
      <c r="V1" s="330"/>
    </row>
    <row r="2" spans="1:22" ht="15.75" customHeight="1" thickBot="1" x14ac:dyDescent="0.25">
      <c r="A2" s="220" t="str">
        <f>'DOE25'!A2</f>
        <v>Wilton-Lyndeborough Cooperative</v>
      </c>
      <c r="B2">
        <f>'DOE25'!B2</f>
        <v>572</v>
      </c>
      <c r="J2" s="223" t="s">
        <v>1799</v>
      </c>
      <c r="K2" s="308">
        <f>SUM('DOE25'!L198:L201)+SUM('DOE25'!L277:L280)</f>
        <v>2804494.85</v>
      </c>
      <c r="L2" s="308">
        <f>'DOE25'!L203+'DOE25'!L282</f>
        <v>1620023.0499999998</v>
      </c>
      <c r="M2" s="308">
        <f>'DOE25'!L204+'DOE25'!L283</f>
        <v>167279.94</v>
      </c>
      <c r="N2" s="308">
        <f>'DOE25'!L206+'DOE25'!L285</f>
        <v>396707.97</v>
      </c>
      <c r="O2" s="316">
        <f>'Salaries-Benefits'!B10+'Salaries-Benefits'!B12+'Salaries-Benefits'!B19+'Salaries-Benefits'!B21+'Salaries-Benefits'!B28+'Salaries-Benefits'!B30+'Salaries-Benefits'!B37+'Salaries-Benefits'!B39</f>
        <v>3182549.0900000003</v>
      </c>
      <c r="P2" s="316">
        <f>'Salaries-Benefits'!B11+'Salaries-Benefits'!B20+'Salaries-Benefits'!B29+'Salaries-Benefits'!B38</f>
        <v>291754.92</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6714340.71</v>
      </c>
      <c r="G4" s="228">
        <f>'DOE25'!L212+'DOE25'!L291</f>
        <v>6714340.71</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v>155098.81</v>
      </c>
      <c r="E5" s="219"/>
      <c r="F5" s="231">
        <f>D5+E5</f>
        <v>155098.81</v>
      </c>
      <c r="G5" s="222"/>
      <c r="H5" s="222"/>
      <c r="J5" s="71" t="s">
        <v>1840</v>
      </c>
      <c r="K5" s="20"/>
      <c r="L5" s="20"/>
      <c r="M5" s="20"/>
      <c r="N5" s="20"/>
      <c r="O5" s="20"/>
      <c r="P5" s="20"/>
      <c r="Q5" s="20"/>
    </row>
    <row r="6" spans="1:22" x14ac:dyDescent="0.2">
      <c r="A6" t="str" cm="1">
        <f t="array" ref="A6">IFERROR(INDEX('School Tables'!$A$4:$G$365,'School Tables'!$J4,3),"")</f>
        <v>Florence Rideout Elementary School</v>
      </c>
      <c r="B6" s="229">
        <f>IFERROR(VLOOKUP(A6,'School Tables'!$C$3:$D$365,2,FALSE),"")</f>
        <v>23060</v>
      </c>
      <c r="C6" s="222" t="str">
        <f>IFERROR(INDEX('School Tables'!$B$3:$B$365,MATCH('School Level Expenditures'!B6,'School Tables'!$D$3:$D$365,0)),"")</f>
        <v>Wilton-Lyndeborough Cooperative</v>
      </c>
      <c r="D6" s="219">
        <v>5047836.92</v>
      </c>
      <c r="E6" s="219">
        <v>259429.74</v>
      </c>
      <c r="F6" s="231">
        <f t="shared" ref="F6:F20" si="2">D6+E6</f>
        <v>5307266.66</v>
      </c>
      <c r="G6" s="222"/>
      <c r="H6" s="222"/>
      <c r="J6" t="str">
        <f t="shared" ref="J6:J20" si="3">A6</f>
        <v>Florence Rideout Elementary School</v>
      </c>
      <c r="K6" s="20">
        <v>2378099.66</v>
      </c>
      <c r="L6" s="20">
        <v>1259549.81</v>
      </c>
      <c r="M6" s="307">
        <v>155971.4</v>
      </c>
      <c r="N6" s="20">
        <v>280083.45</v>
      </c>
      <c r="O6" s="20">
        <v>1345378.61</v>
      </c>
      <c r="P6" s="20">
        <v>76577.89</v>
      </c>
      <c r="Q6" s="20">
        <v>23081.5</v>
      </c>
    </row>
    <row r="7" spans="1:22" x14ac:dyDescent="0.2">
      <c r="A7" t="str" cm="1">
        <f t="array" ref="A7">IFERROR(INDEX('School Tables'!$A$4:$G$365,'School Tables'!$J5,3),"")</f>
        <v>Lyndeborough Central School</v>
      </c>
      <c r="B7" s="229">
        <f>IFERROR(VLOOKUP(A7,'School Tables'!$C$3:$D$365,2,FALSE),"")</f>
        <v>23035</v>
      </c>
      <c r="C7" s="222" t="str">
        <f>IFERROR(INDEX('School Tables'!$B$3:$B$365,MATCH('School Level Expenditures'!B7,'School Tables'!$D$3:$D$365,0)),"")</f>
        <v>Wilton-Lyndeborough Cooperative</v>
      </c>
      <c r="D7" s="219">
        <v>1186326.74</v>
      </c>
      <c r="E7" s="219">
        <v>65648.5</v>
      </c>
      <c r="F7" s="231">
        <f t="shared" si="2"/>
        <v>1251975.24</v>
      </c>
      <c r="G7" s="222"/>
      <c r="H7" s="222"/>
      <c r="J7" t="str">
        <f t="shared" si="3"/>
        <v>Lyndeborough Central School</v>
      </c>
      <c r="K7" s="20">
        <v>426395.19</v>
      </c>
      <c r="L7" s="20">
        <v>360473.24</v>
      </c>
      <c r="M7" s="307">
        <v>11308.54</v>
      </c>
      <c r="N7" s="20">
        <v>116624.52</v>
      </c>
      <c r="O7" s="20">
        <v>216280.9</v>
      </c>
      <c r="P7" s="20">
        <v>82565.05</v>
      </c>
      <c r="Q7" s="20">
        <v>2233.9699999999998</v>
      </c>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6389262.4699999997</v>
      </c>
      <c r="E21" s="261">
        <f>SUM(E5:E20)</f>
        <v>325078.24</v>
      </c>
      <c r="F21" s="216"/>
      <c r="G21" s="216"/>
      <c r="H21" s="216"/>
      <c r="K21" s="262">
        <f t="shared" ref="K21:Q21" si="4">SUM(K5:K20)</f>
        <v>2804494.85</v>
      </c>
      <c r="L21" s="262">
        <f t="shared" si="4"/>
        <v>1620023.05</v>
      </c>
      <c r="M21" s="262">
        <f t="shared" si="4"/>
        <v>167279.94</v>
      </c>
      <c r="N21" s="262">
        <f t="shared" si="4"/>
        <v>396707.97000000003</v>
      </c>
      <c r="O21" s="262">
        <f t="shared" si="4"/>
        <v>1561659.51</v>
      </c>
      <c r="P21" s="262">
        <f t="shared" si="4"/>
        <v>159142.94</v>
      </c>
      <c r="Q21" s="262">
        <f t="shared" si="4"/>
        <v>25315.47</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1223385.76</v>
      </c>
      <c r="L23" s="19">
        <f>'DOE25'!L221+'DOE25'!L301</f>
        <v>425106.68</v>
      </c>
      <c r="M23" s="19">
        <f>'DOE25'!L222+'DOE25'!L302</f>
        <v>70590.709999999992</v>
      </c>
      <c r="N23" s="19">
        <f>'DOE25'!L224+'DOE25'!L304</f>
        <v>195646.30000000002</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2669187.42</v>
      </c>
      <c r="G25" s="228">
        <f>'DOE25'!L230+'DOE25'!L310</f>
        <v>2669187.42</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c r="E26" s="219"/>
      <c r="F26" s="231">
        <f>D26+E26</f>
        <v>0</v>
      </c>
      <c r="G26" s="222"/>
      <c r="H26" s="222"/>
      <c r="J26" s="71" t="s">
        <v>1840</v>
      </c>
      <c r="K26" s="315"/>
      <c r="L26" s="315"/>
      <c r="M26" s="315"/>
      <c r="N26" s="315"/>
      <c r="O26" s="315"/>
      <c r="P26" s="315"/>
      <c r="Q26" s="315"/>
    </row>
    <row r="27" spans="1:17" x14ac:dyDescent="0.2">
      <c r="A27" t="str" cm="1">
        <f t="array" ref="A27">IFERROR(INDEX('School Tables'!$L$4:$R$100,'School Tables'!$U4,3),"")</f>
        <v>Wilton-Lyndeboro Middle School</v>
      </c>
      <c r="B27" s="229">
        <f>IFERROR(VLOOKUP(A27,'School Tables'!$N$4:$O$100,2,FALSE),"")</f>
        <v>26955</v>
      </c>
      <c r="C27" s="222" t="str">
        <f>IFERROR(INDEX('School Tables'!$M$4:$M$100,MATCH('School Level Expenditures'!A27,'School Tables'!$N$4:$N$100,0)),"")</f>
        <v>Wilton-Lyndeborough Cooperative</v>
      </c>
      <c r="D27" s="219">
        <v>2567816.37</v>
      </c>
      <c r="E27" s="219">
        <v>101371.05</v>
      </c>
      <c r="F27" s="231">
        <f t="shared" ref="F27:F33" si="6">D27+E27</f>
        <v>2669187.42</v>
      </c>
      <c r="G27" s="222"/>
      <c r="H27" s="222"/>
      <c r="J27" t="str">
        <f t="shared" ref="J27:J33" si="7">A27</f>
        <v>Wilton-Lyndeboro Middle School</v>
      </c>
      <c r="K27" s="20">
        <v>1223385.76</v>
      </c>
      <c r="L27" s="20">
        <v>425106.68</v>
      </c>
      <c r="M27" s="307">
        <v>70590.710000000006</v>
      </c>
      <c r="N27" s="20">
        <v>195646.3</v>
      </c>
      <c r="O27" s="20">
        <v>688876.8</v>
      </c>
      <c r="P27" s="20">
        <v>79951.740000000005</v>
      </c>
      <c r="Q27" s="20">
        <v>7120.11</v>
      </c>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2567816.37</v>
      </c>
      <c r="E34" s="261">
        <f>SUM(E26:E33)</f>
        <v>101371.05</v>
      </c>
      <c r="F34" s="216"/>
      <c r="G34" s="216"/>
      <c r="H34" s="216"/>
      <c r="K34" s="262">
        <f t="shared" ref="K34:Q34" si="8">SUM(K26:K33)</f>
        <v>1223385.76</v>
      </c>
      <c r="L34" s="262">
        <f t="shared" si="8"/>
        <v>425106.68</v>
      </c>
      <c r="M34" s="262">
        <f t="shared" si="8"/>
        <v>70590.710000000006</v>
      </c>
      <c r="N34" s="262">
        <f t="shared" si="8"/>
        <v>195646.3</v>
      </c>
      <c r="O34" s="262">
        <f t="shared" si="8"/>
        <v>688876.8</v>
      </c>
      <c r="P34" s="262">
        <f t="shared" si="8"/>
        <v>79951.740000000005</v>
      </c>
      <c r="Q34" s="262">
        <f t="shared" si="8"/>
        <v>7120.11</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1838087.94</v>
      </c>
      <c r="L36" s="19">
        <f>'DOE25'!L239+'DOE25'!L320</f>
        <v>451234.12</v>
      </c>
      <c r="M36" s="19">
        <f>'DOE25'!L240+'DOE25'!L321</f>
        <v>83221.240000000005</v>
      </c>
      <c r="N36" s="19">
        <f>'DOE25'!L242+'DOE25'!L323</f>
        <v>236361.44000000003</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3641798.1</v>
      </c>
      <c r="G38" s="228">
        <f>'DOE25'!L248+'DOE25'!L329</f>
        <v>3641798.1000000006</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v>250867.68</v>
      </c>
      <c r="E39" s="219"/>
      <c r="F39" s="231">
        <f t="shared" ref="F39:F44" si="10">D39+E39</f>
        <v>250867.68</v>
      </c>
      <c r="G39" s="222"/>
      <c r="H39" s="222"/>
      <c r="J39" s="71" t="s">
        <v>1840</v>
      </c>
      <c r="K39" s="315"/>
      <c r="L39" s="315"/>
      <c r="M39" s="315"/>
      <c r="N39" s="315"/>
      <c r="O39" s="315"/>
      <c r="P39" s="315"/>
      <c r="Q39" s="315"/>
    </row>
    <row r="40" spans="1:17" x14ac:dyDescent="0.2">
      <c r="A40" t="str" cm="1">
        <f t="array" ref="A40">IFERROR(INDEX('School Tables'!$W$4:$AC$120,'School Tables'!$AF4,3),"")</f>
        <v>Wilton-Lyndeboro Senior High School</v>
      </c>
      <c r="B40" s="229">
        <f>IFERROR(VLOOKUP(A40,'School Tables'!$Y$4:$Z$120,2,FALSE),"")</f>
        <v>23070</v>
      </c>
      <c r="C40" s="222" t="str">
        <f>IFERROR(INDEX('School Tables'!$X$4:$X$120,MATCH('School Level Expenditures'!A40,'School Tables'!$Y$4:$Y$120,0)),"")</f>
        <v>Wilton-Lyndeborough Cooperative</v>
      </c>
      <c r="D40" s="219">
        <v>3205218.28</v>
      </c>
      <c r="E40" s="219">
        <v>185712.14</v>
      </c>
      <c r="F40" s="231">
        <f t="shared" si="10"/>
        <v>3390930.42</v>
      </c>
      <c r="G40" s="222"/>
      <c r="H40" s="222"/>
      <c r="J40" t="str">
        <f>A40</f>
        <v>Wilton-Lyndeboro Senior High School</v>
      </c>
      <c r="K40" s="20">
        <v>1838087.94</v>
      </c>
      <c r="L40" s="20">
        <v>451234.12</v>
      </c>
      <c r="M40" s="307">
        <v>83221.240000000005</v>
      </c>
      <c r="N40" s="20">
        <v>236361.44</v>
      </c>
      <c r="O40" s="20">
        <v>932012.78</v>
      </c>
      <c r="P40" s="20">
        <v>52660.24</v>
      </c>
      <c r="Q40" s="20">
        <v>8654.74</v>
      </c>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3456085.96</v>
      </c>
      <c r="E45" s="262">
        <f>SUM(E39:E44)</f>
        <v>185712.14</v>
      </c>
      <c r="K45" s="262">
        <f t="shared" ref="K45:Q45" si="11">SUM(K39:K44)</f>
        <v>1838087.94</v>
      </c>
      <c r="L45" s="262">
        <f t="shared" si="11"/>
        <v>451234.12</v>
      </c>
      <c r="M45" s="262">
        <f t="shared" si="11"/>
        <v>83221.240000000005</v>
      </c>
      <c r="N45" s="262">
        <f t="shared" si="11"/>
        <v>236361.44</v>
      </c>
      <c r="O45" s="262">
        <f t="shared" si="11"/>
        <v>932012.78</v>
      </c>
      <c r="P45" s="262">
        <f t="shared" si="11"/>
        <v>52660.24</v>
      </c>
      <c r="Q45" s="262">
        <f t="shared" si="11"/>
        <v>8654.74</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C44" sqref="C44"/>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Wilton-Lyndeborough Cooperative</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108902.01</v>
      </c>
      <c r="D8" s="73">
        <f>'DOE25'!G9</f>
        <v>30039.48</v>
      </c>
      <c r="E8" s="73">
        <f>'DOE25'!H9</f>
        <v>0</v>
      </c>
      <c r="F8" s="73">
        <f>'DOE25'!I9</f>
        <v>0</v>
      </c>
      <c r="G8" s="73">
        <f>'DOE25'!J9</f>
        <v>673005.52</v>
      </c>
      <c r="H8" s="13">
        <f>SUM(C8:G8)</f>
        <v>811947.01</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343405.63</v>
      </c>
      <c r="D11" s="73">
        <f>'DOE25'!G12</f>
        <v>0</v>
      </c>
      <c r="E11" s="73">
        <f>'DOE25'!H12</f>
        <v>184425.15</v>
      </c>
      <c r="F11" s="73">
        <f>'DOE25'!I12</f>
        <v>0</v>
      </c>
      <c r="G11" s="73">
        <f>'DOE25'!J12</f>
        <v>0</v>
      </c>
      <c r="H11" s="13">
        <f t="shared" si="0"/>
        <v>527830.78</v>
      </c>
      <c r="I11" s="90"/>
    </row>
    <row r="12" spans="1:9" x14ac:dyDescent="0.2">
      <c r="A12" s="1" t="s">
        <v>143</v>
      </c>
      <c r="B12" s="6">
        <v>140</v>
      </c>
      <c r="C12" s="73">
        <f>'DOE25'!F13</f>
        <v>0</v>
      </c>
      <c r="D12" s="73">
        <f>'DOE25'!G13</f>
        <v>62998.25</v>
      </c>
      <c r="E12" s="73">
        <f>'DOE25'!H13</f>
        <v>0</v>
      </c>
      <c r="F12" s="73">
        <f>'DOE25'!I13</f>
        <v>0</v>
      </c>
      <c r="G12" s="73">
        <f>'DOE25'!J13</f>
        <v>0</v>
      </c>
      <c r="H12" s="13">
        <f t="shared" si="0"/>
        <v>62998.25</v>
      </c>
      <c r="I12" s="90"/>
    </row>
    <row r="13" spans="1:9" x14ac:dyDescent="0.2">
      <c r="A13" s="1" t="s">
        <v>144</v>
      </c>
      <c r="B13" s="6">
        <v>150</v>
      </c>
      <c r="C13" s="73">
        <f>'DOE25'!F14</f>
        <v>42308.89</v>
      </c>
      <c r="D13" s="73">
        <f>'DOE25'!G14</f>
        <v>0</v>
      </c>
      <c r="E13" s="73">
        <f>'DOE25'!H14</f>
        <v>0</v>
      </c>
      <c r="F13" s="73">
        <f>'DOE25'!I14</f>
        <v>0</v>
      </c>
      <c r="G13" s="73">
        <f>'DOE25'!J14</f>
        <v>0</v>
      </c>
      <c r="H13" s="13">
        <f t="shared" si="0"/>
        <v>42308.89</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0.05</v>
      </c>
      <c r="E15" s="73">
        <f>'DOE25'!H16</f>
        <v>0</v>
      </c>
      <c r="F15" s="73">
        <f>'DOE25'!I16</f>
        <v>0</v>
      </c>
      <c r="G15" s="23" t="s">
        <v>288</v>
      </c>
      <c r="H15" s="13">
        <f t="shared" si="0"/>
        <v>0.05</v>
      </c>
      <c r="I15" s="90"/>
    </row>
    <row r="16" spans="1:9" x14ac:dyDescent="0.2">
      <c r="A16" s="1" t="s">
        <v>147</v>
      </c>
      <c r="B16" s="6">
        <v>180</v>
      </c>
      <c r="C16" s="73">
        <f>'DOE25'!F17</f>
        <v>11887.46</v>
      </c>
      <c r="D16" s="73">
        <f>'DOE25'!G17</f>
        <v>0</v>
      </c>
      <c r="E16" s="73">
        <f>'DOE25'!H17</f>
        <v>0</v>
      </c>
      <c r="F16" s="73">
        <f>'DOE25'!I17</f>
        <v>0</v>
      </c>
      <c r="G16" s="73">
        <f>'DOE25'!J17</f>
        <v>0</v>
      </c>
      <c r="H16" s="13">
        <f t="shared" si="0"/>
        <v>11887.46</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506503.99000000005</v>
      </c>
      <c r="D18" s="38">
        <f>SUM(D8:D17)</f>
        <v>93037.78</v>
      </c>
      <c r="E18" s="38">
        <f>SUM(E8:E17)</f>
        <v>184425.15</v>
      </c>
      <c r="F18" s="38">
        <f>SUM(F8:F17)</f>
        <v>0</v>
      </c>
      <c r="G18" s="38">
        <f>SUM(G8:G17)</f>
        <v>673005.52</v>
      </c>
      <c r="H18" s="38">
        <f t="shared" si="0"/>
        <v>1456972.44</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266337.37</v>
      </c>
      <c r="E21" s="73">
        <f>'DOE25'!H22</f>
        <v>0</v>
      </c>
      <c r="F21" s="73">
        <f>'DOE25'!I22</f>
        <v>0</v>
      </c>
      <c r="G21" s="73">
        <f>'DOE25'!J22</f>
        <v>0</v>
      </c>
      <c r="H21" s="13">
        <f t="shared" ref="H21:H31" si="1">SUM(C21:G21)</f>
        <v>266337.37</v>
      </c>
      <c r="I21" s="90"/>
    </row>
    <row r="22" spans="1:9" x14ac:dyDescent="0.2">
      <c r="A22" s="1" t="s">
        <v>151</v>
      </c>
      <c r="B22" s="6">
        <v>410</v>
      </c>
      <c r="C22" s="73">
        <f>'DOE25'!F23</f>
        <v>0</v>
      </c>
      <c r="D22" s="73">
        <f>'DOE25'!G23</f>
        <v>0</v>
      </c>
      <c r="E22" s="73">
        <f>'DOE25'!H23</f>
        <v>135087.51</v>
      </c>
      <c r="F22" s="73">
        <f>'DOE25'!I23</f>
        <v>0</v>
      </c>
      <c r="G22" s="73">
        <f>'DOE25'!J23</f>
        <v>0</v>
      </c>
      <c r="H22" s="13">
        <f t="shared" si="1"/>
        <v>135087.51</v>
      </c>
      <c r="I22" s="90"/>
    </row>
    <row r="23" spans="1:9" x14ac:dyDescent="0.2">
      <c r="A23" s="1" t="s">
        <v>152</v>
      </c>
      <c r="B23" s="6">
        <v>420</v>
      </c>
      <c r="C23" s="73">
        <f>'DOE25'!F24</f>
        <v>-70727.539999999994</v>
      </c>
      <c r="D23" s="73">
        <f>'DOE25'!G24</f>
        <v>-126.2</v>
      </c>
      <c r="E23" s="73">
        <f>'DOE25'!H24</f>
        <v>-1500.2</v>
      </c>
      <c r="F23" s="73">
        <f>'DOE25'!I24</f>
        <v>0</v>
      </c>
      <c r="G23" s="73">
        <f>'DOE25'!J24</f>
        <v>0</v>
      </c>
      <c r="H23" s="13">
        <f t="shared" si="1"/>
        <v>-72353.939999999988</v>
      </c>
      <c r="I23" s="90"/>
    </row>
    <row r="24" spans="1:9" x14ac:dyDescent="0.2">
      <c r="A24" s="1" t="s">
        <v>153</v>
      </c>
      <c r="B24" s="6">
        <v>430</v>
      </c>
      <c r="C24" s="73">
        <f>'DOE25'!F25</f>
        <v>90875.14</v>
      </c>
      <c r="D24" s="73">
        <f>'DOE25'!G25</f>
        <v>900</v>
      </c>
      <c r="E24" s="73">
        <f>'DOE25'!H25</f>
        <v>0</v>
      </c>
      <c r="F24" s="73">
        <f>'DOE25'!I25</f>
        <v>0</v>
      </c>
      <c r="G24" s="23" t="s">
        <v>288</v>
      </c>
      <c r="H24" s="13">
        <f t="shared" si="1"/>
        <v>91775.14</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-12317.95</v>
      </c>
      <c r="D27" s="73">
        <f>'DOE25'!G28</f>
        <v>0</v>
      </c>
      <c r="E27" s="73">
        <f>'DOE25'!H28</f>
        <v>0</v>
      </c>
      <c r="F27" s="73">
        <f>'DOE25'!I28</f>
        <v>0</v>
      </c>
      <c r="G27" s="23" t="s">
        <v>288</v>
      </c>
      <c r="H27" s="13">
        <f t="shared" si="1"/>
        <v>-12317.95</v>
      </c>
      <c r="I27" s="90"/>
    </row>
    <row r="28" spans="1:9" x14ac:dyDescent="0.2">
      <c r="A28" s="1" t="s">
        <v>157</v>
      </c>
      <c r="B28" s="6">
        <v>470</v>
      </c>
      <c r="C28" s="73">
        <f>'DOE25'!F29</f>
        <v>149147.32</v>
      </c>
      <c r="D28" s="73">
        <f>'DOE25'!G29</f>
        <v>0</v>
      </c>
      <c r="E28" s="73">
        <f>'DOE25'!H29</f>
        <v>0</v>
      </c>
      <c r="F28" s="73">
        <f>'DOE25'!I29</f>
        <v>0</v>
      </c>
      <c r="G28" s="23" t="s">
        <v>288</v>
      </c>
      <c r="H28" s="13">
        <f t="shared" si="1"/>
        <v>149147.32</v>
      </c>
      <c r="I28" s="90"/>
    </row>
    <row r="29" spans="1:9" x14ac:dyDescent="0.2">
      <c r="A29" s="1" t="s">
        <v>158</v>
      </c>
      <c r="B29" s="6">
        <v>480</v>
      </c>
      <c r="C29" s="73">
        <f>'DOE25'!F30</f>
        <v>0</v>
      </c>
      <c r="D29" s="73">
        <f>'DOE25'!G30</f>
        <v>9876.2800000000007</v>
      </c>
      <c r="E29" s="73">
        <f>'DOE25'!H30</f>
        <v>0</v>
      </c>
      <c r="F29" s="73">
        <f>'DOE25'!I30</f>
        <v>0</v>
      </c>
      <c r="G29" s="23" t="s">
        <v>288</v>
      </c>
      <c r="H29" s="13">
        <f t="shared" si="1"/>
        <v>9876.2800000000007</v>
      </c>
      <c r="I29" s="90"/>
    </row>
    <row r="30" spans="1:9" ht="12" thickBot="1" x14ac:dyDescent="0.25">
      <c r="A30" s="1" t="s">
        <v>159</v>
      </c>
      <c r="B30" s="56">
        <v>490</v>
      </c>
      <c r="C30" s="73">
        <f>'DOE25'!F31</f>
        <v>0</v>
      </c>
      <c r="D30" s="73">
        <f>'DOE25'!G31</f>
        <v>0</v>
      </c>
      <c r="E30" s="73">
        <f>'DOE25'!H31</f>
        <v>1700</v>
      </c>
      <c r="F30" s="73">
        <f>'DOE25'!I31</f>
        <v>0</v>
      </c>
      <c r="G30" s="73">
        <f>'DOE25'!J31</f>
        <v>0</v>
      </c>
      <c r="H30" s="13">
        <f t="shared" si="1"/>
        <v>1700</v>
      </c>
      <c r="I30" s="90"/>
    </row>
    <row r="31" spans="1:9" ht="12" thickTop="1" x14ac:dyDescent="0.2">
      <c r="A31" s="35" t="s">
        <v>160</v>
      </c>
      <c r="B31" s="2"/>
      <c r="C31" s="38">
        <f>SUM(C21:C30)</f>
        <v>156976.97</v>
      </c>
      <c r="D31" s="38">
        <f>SUM(D21:D30)</f>
        <v>276987.45</v>
      </c>
      <c r="E31" s="38">
        <f>SUM(E21:E30)</f>
        <v>135287.31</v>
      </c>
      <c r="F31" s="38">
        <f>SUM(F21:F30)</f>
        <v>0</v>
      </c>
      <c r="G31" s="38">
        <f>SUM(G21:G30)</f>
        <v>0</v>
      </c>
      <c r="H31" s="38">
        <f t="shared" si="1"/>
        <v>569251.73</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0</v>
      </c>
      <c r="E34" s="73">
        <f>'DOE25'!H35</f>
        <v>0</v>
      </c>
      <c r="F34" s="73">
        <f>'DOE25'!I35</f>
        <v>0</v>
      </c>
      <c r="G34" s="23" t="s">
        <v>288</v>
      </c>
      <c r="H34" s="13">
        <f t="shared" ref="H34:H51" si="2">SUM(C34:G34)</f>
        <v>0</v>
      </c>
      <c r="I34" s="90"/>
    </row>
    <row r="35" spans="1:9" x14ac:dyDescent="0.2">
      <c r="A35" s="1" t="s">
        <v>846</v>
      </c>
      <c r="B35" s="6">
        <v>752</v>
      </c>
      <c r="C35" s="73">
        <f>'DOE25'!F36</f>
        <v>0</v>
      </c>
      <c r="D35" s="73">
        <f>'DOE25'!G36</f>
        <v>0</v>
      </c>
      <c r="E35" s="73">
        <f>'DOE25'!H36</f>
        <v>0</v>
      </c>
      <c r="F35" s="73">
        <f>'DOE25'!I36</f>
        <v>0</v>
      </c>
      <c r="G35" s="23" t="s">
        <v>288</v>
      </c>
      <c r="H35" s="13">
        <f t="shared" si="2"/>
        <v>0</v>
      </c>
      <c r="I35" s="90"/>
    </row>
    <row r="36" spans="1:9" x14ac:dyDescent="0.2">
      <c r="A36" s="1" t="s">
        <v>852</v>
      </c>
      <c r="B36" s="6">
        <v>756</v>
      </c>
      <c r="C36" s="73">
        <f>'DOE25'!F37</f>
        <v>0</v>
      </c>
      <c r="D36" s="73">
        <f>'DOE25'!G37</f>
        <v>0</v>
      </c>
      <c r="E36" s="73">
        <f>'DOE25'!H37</f>
        <v>0</v>
      </c>
      <c r="F36" s="73">
        <f>'DOE25'!I37</f>
        <v>0</v>
      </c>
      <c r="G36" s="73">
        <f>'DOE25'!J37</f>
        <v>673005.52</v>
      </c>
      <c r="H36" s="13">
        <f t="shared" si="2"/>
        <v>673005.52</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0</v>
      </c>
      <c r="E39" s="23" t="s">
        <v>288</v>
      </c>
      <c r="F39" s="23" t="s">
        <v>288</v>
      </c>
      <c r="G39" s="23" t="s">
        <v>288</v>
      </c>
      <c r="H39" s="13">
        <f t="shared" si="2"/>
        <v>0</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49137.84</v>
      </c>
      <c r="F42" s="73">
        <f>'DOE25'!I43</f>
        <v>0</v>
      </c>
      <c r="G42" s="73">
        <f>'DOE25'!J43</f>
        <v>0</v>
      </c>
      <c r="H42" s="13">
        <f t="shared" si="2"/>
        <v>49137.84</v>
      </c>
      <c r="I42" s="90"/>
    </row>
    <row r="43" spans="1:9" x14ac:dyDescent="0.2">
      <c r="A43" s="1" t="s">
        <v>859</v>
      </c>
      <c r="B43" s="6">
        <v>755</v>
      </c>
      <c r="C43" s="73">
        <f>'DOE25'!F44</f>
        <v>100000</v>
      </c>
      <c r="D43" s="73">
        <f>'DOE25'!G44</f>
        <v>-183949.67</v>
      </c>
      <c r="E43" s="73">
        <f>'DOE25'!H44</f>
        <v>0</v>
      </c>
      <c r="F43" s="73">
        <f>'DOE25'!I44</f>
        <v>0</v>
      </c>
      <c r="G43" s="23" t="s">
        <v>288</v>
      </c>
      <c r="H43" s="13">
        <f t="shared" si="2"/>
        <v>-83949.670000000013</v>
      </c>
      <c r="I43" s="90"/>
    </row>
    <row r="44" spans="1:9" x14ac:dyDescent="0.2">
      <c r="A44" s="1" t="s">
        <v>860</v>
      </c>
      <c r="B44" s="6">
        <v>753</v>
      </c>
      <c r="C44" s="73">
        <f>'DOE25'!F45</f>
        <v>17970.97</v>
      </c>
      <c r="D44" s="73">
        <f>'DOE25'!G45</f>
        <v>0</v>
      </c>
      <c r="E44" s="73">
        <f>'DOE25'!H45</f>
        <v>0</v>
      </c>
      <c r="F44" s="73">
        <f>'DOE25'!I45</f>
        <v>0</v>
      </c>
      <c r="G44" s="73">
        <f>'DOE25'!J45</f>
        <v>0</v>
      </c>
      <c r="H44" s="13">
        <f t="shared" si="2"/>
        <v>17970.97</v>
      </c>
      <c r="I44" s="90"/>
    </row>
    <row r="45" spans="1:9" x14ac:dyDescent="0.2">
      <c r="A45" s="1" t="s">
        <v>876</v>
      </c>
      <c r="B45" s="6"/>
      <c r="C45" s="73">
        <f>'DOE25'!F46</f>
        <v>0</v>
      </c>
      <c r="D45" s="23" t="s">
        <v>288</v>
      </c>
      <c r="E45" s="23" t="s">
        <v>288</v>
      </c>
      <c r="F45" s="23" t="s">
        <v>288</v>
      </c>
      <c r="G45" s="23" t="s">
        <v>288</v>
      </c>
      <c r="H45" s="13">
        <f t="shared" si="2"/>
        <v>0</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0</v>
      </c>
      <c r="E47" s="73">
        <f>'DOE25'!H48</f>
        <v>0</v>
      </c>
      <c r="F47" s="73">
        <f>'DOE25'!I48</f>
        <v>0</v>
      </c>
      <c r="G47" s="73">
        <f>'DOE25'!J48</f>
        <v>0</v>
      </c>
      <c r="H47" s="13">
        <f t="shared" si="2"/>
        <v>0</v>
      </c>
      <c r="I47" s="90"/>
    </row>
    <row r="48" spans="1:9" x14ac:dyDescent="0.2">
      <c r="A48" s="1" t="s">
        <v>878</v>
      </c>
      <c r="B48" s="6">
        <v>753</v>
      </c>
      <c r="C48" s="73">
        <f>'DOE25'!F49</f>
        <v>0</v>
      </c>
      <c r="D48" s="73">
        <f>'DOE25'!G49</f>
        <v>0</v>
      </c>
      <c r="E48" s="73">
        <f>'DOE25'!H49</f>
        <v>0</v>
      </c>
      <c r="F48" s="73">
        <f>'DOE25'!I49</f>
        <v>0</v>
      </c>
      <c r="G48" s="73">
        <f>'DOE25'!J49</f>
        <v>0</v>
      </c>
      <c r="H48" s="13">
        <f t="shared" si="2"/>
        <v>0</v>
      </c>
      <c r="I48" s="90"/>
    </row>
    <row r="49" spans="1:9" ht="12" thickBot="1" x14ac:dyDescent="0.25">
      <c r="A49" s="28" t="s">
        <v>879</v>
      </c>
      <c r="B49" s="56">
        <v>770</v>
      </c>
      <c r="C49" s="73">
        <f>'DOE25'!F50</f>
        <v>231556.05</v>
      </c>
      <c r="D49" s="23" t="s">
        <v>288</v>
      </c>
      <c r="E49" s="23" t="s">
        <v>288</v>
      </c>
      <c r="F49" s="23" t="s">
        <v>288</v>
      </c>
      <c r="G49" s="23" t="s">
        <v>288</v>
      </c>
      <c r="H49" s="13">
        <f t="shared" si="2"/>
        <v>231556.05</v>
      </c>
      <c r="I49" s="90"/>
    </row>
    <row r="50" spans="1:9" ht="12.75" thickTop="1" thickBot="1" x14ac:dyDescent="0.25">
      <c r="A50" s="35" t="s">
        <v>880</v>
      </c>
      <c r="B50" s="44"/>
      <c r="C50" s="38">
        <f>SUM(C34:C49)</f>
        <v>349527.02</v>
      </c>
      <c r="D50" s="38">
        <f>SUM(D34:D49)</f>
        <v>-183949.67</v>
      </c>
      <c r="E50" s="38">
        <f>SUM(E34:E49)</f>
        <v>49137.84</v>
      </c>
      <c r="F50" s="38">
        <f>SUM(F34:F49)</f>
        <v>0</v>
      </c>
      <c r="G50" s="38">
        <f>SUM(G34:G49)</f>
        <v>673005.52</v>
      </c>
      <c r="H50" s="38">
        <f t="shared" si="2"/>
        <v>887720.71</v>
      </c>
      <c r="I50" s="90"/>
    </row>
    <row r="51" spans="1:9" ht="12" thickTop="1" x14ac:dyDescent="0.2">
      <c r="A51" s="35" t="s">
        <v>881</v>
      </c>
      <c r="B51" s="2"/>
      <c r="C51" s="38">
        <f>C50+C31</f>
        <v>506503.99</v>
      </c>
      <c r="D51" s="38">
        <f>D50+D31</f>
        <v>93037.78</v>
      </c>
      <c r="E51" s="38">
        <f>E50+E31</f>
        <v>184425.15</v>
      </c>
      <c r="F51" s="38">
        <f>F50+F31</f>
        <v>0</v>
      </c>
      <c r="G51" s="38">
        <f>G50+G31</f>
        <v>673005.52</v>
      </c>
      <c r="H51" s="38">
        <f t="shared" si="2"/>
        <v>1456972.44</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9636239.0099999998</v>
      </c>
      <c r="D56" s="73">
        <f>'DOE25'!G60</f>
        <v>0</v>
      </c>
      <c r="E56" s="73">
        <f>'DOE25'!H60</f>
        <v>0</v>
      </c>
      <c r="F56" s="73">
        <f>'DOE25'!I60</f>
        <v>0</v>
      </c>
      <c r="G56" s="73">
        <f>'DOE25'!J60</f>
        <v>0</v>
      </c>
      <c r="H56" s="13">
        <f t="shared" ref="H56:H63" si="3">SUM(C56:G56)</f>
        <v>9636239.0099999998</v>
      </c>
      <c r="I56"/>
    </row>
    <row r="57" spans="1:9" x14ac:dyDescent="0.2">
      <c r="A57" s="1" t="s">
        <v>164</v>
      </c>
      <c r="B57" s="6" t="s">
        <v>165</v>
      </c>
      <c r="C57" s="73">
        <f>'DOE25'!F79</f>
        <v>7500</v>
      </c>
      <c r="D57" s="23" t="s">
        <v>288</v>
      </c>
      <c r="E57" s="73">
        <f>'DOE25'!H79</f>
        <v>0</v>
      </c>
      <c r="F57" s="23" t="s">
        <v>288</v>
      </c>
      <c r="G57" s="23" t="s">
        <v>288</v>
      </c>
      <c r="H57" s="13">
        <f t="shared" si="3"/>
        <v>7500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3582.32</v>
      </c>
      <c r="D59" s="73">
        <f>'DOE25'!G96</f>
        <v>0</v>
      </c>
      <c r="E59" s="73">
        <f>'DOE25'!H96</f>
        <v>0</v>
      </c>
      <c r="F59" s="73">
        <f>'DOE25'!I96</f>
        <v>0</v>
      </c>
      <c r="G59" s="73">
        <f>'DOE25'!J96</f>
        <v>30342.23</v>
      </c>
      <c r="H59" s="13">
        <f t="shared" si="3"/>
        <v>33924.550000000003</v>
      </c>
      <c r="I59"/>
    </row>
    <row r="60" spans="1:9" x14ac:dyDescent="0.2">
      <c r="A60" s="1" t="s">
        <v>170</v>
      </c>
      <c r="B60" s="22" t="s">
        <v>171</v>
      </c>
      <c r="C60" s="23" t="s">
        <v>288</v>
      </c>
      <c r="D60" s="73">
        <f>'DOE25'!G97</f>
        <v>103099.76</v>
      </c>
      <c r="E60" s="23" t="s">
        <v>288</v>
      </c>
      <c r="F60" s="23" t="s">
        <v>288</v>
      </c>
      <c r="G60" s="23" t="s">
        <v>288</v>
      </c>
      <c r="H60" s="13">
        <f t="shared" si="3"/>
        <v>103099.76</v>
      </c>
      <c r="I60"/>
    </row>
    <row r="61" spans="1:9" ht="12" thickBot="1" x14ac:dyDescent="0.25">
      <c r="A61" s="1" t="s">
        <v>172</v>
      </c>
      <c r="B61" s="22" t="s">
        <v>173</v>
      </c>
      <c r="C61" s="73">
        <f>SUM('DOE25'!F98:F110)</f>
        <v>31819.06</v>
      </c>
      <c r="D61" s="73">
        <f>SUM('DOE25'!G98:G110)</f>
        <v>36.130000000000003</v>
      </c>
      <c r="E61" s="73">
        <f>SUM('DOE25'!H98:H110)</f>
        <v>669</v>
      </c>
      <c r="F61" s="73">
        <f>SUM('DOE25'!I98:I110)</f>
        <v>0</v>
      </c>
      <c r="G61" s="73">
        <f>SUM('DOE25'!J98:J110)</f>
        <v>0</v>
      </c>
      <c r="H61" s="13">
        <f t="shared" si="3"/>
        <v>32524.190000000002</v>
      </c>
      <c r="I61"/>
    </row>
    <row r="62" spans="1:9" ht="12.75" thickTop="1" thickBot="1" x14ac:dyDescent="0.25">
      <c r="A62" s="28" t="s">
        <v>174</v>
      </c>
      <c r="B62" s="6"/>
      <c r="C62" s="93">
        <f>SUM(C57:C61)</f>
        <v>42901.380000000005</v>
      </c>
      <c r="D62" s="93">
        <f>SUM(D57:D61)</f>
        <v>103135.89</v>
      </c>
      <c r="E62" s="93">
        <f>SUM(E57:E61)</f>
        <v>669</v>
      </c>
      <c r="F62" s="93">
        <f>SUM(F57:F61)</f>
        <v>0</v>
      </c>
      <c r="G62" s="93">
        <f>SUM(G57:G61)</f>
        <v>30342.23</v>
      </c>
      <c r="H62" s="13">
        <f t="shared" si="3"/>
        <v>177048.50000000003</v>
      </c>
      <c r="I62"/>
    </row>
    <row r="63" spans="1:9" ht="12" thickTop="1" x14ac:dyDescent="0.2">
      <c r="A63" s="28" t="s">
        <v>175</v>
      </c>
      <c r="B63" s="6"/>
      <c r="C63" s="21">
        <f>C56+C62</f>
        <v>9679140.3900000006</v>
      </c>
      <c r="D63" s="21">
        <f>D56+D62</f>
        <v>103135.89</v>
      </c>
      <c r="E63" s="21">
        <f>E56+E62</f>
        <v>669</v>
      </c>
      <c r="F63" s="21">
        <f>F56+F62</f>
        <v>0</v>
      </c>
      <c r="G63" s="21">
        <f>G56+G62</f>
        <v>30342.23</v>
      </c>
      <c r="H63" s="13">
        <f t="shared" si="3"/>
        <v>9813287.5100000016</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1983062.75</v>
      </c>
      <c r="D66" s="23" t="s">
        <v>288</v>
      </c>
      <c r="E66" s="23" t="s">
        <v>288</v>
      </c>
      <c r="F66" s="23" t="s">
        <v>288</v>
      </c>
      <c r="G66" s="23" t="s">
        <v>288</v>
      </c>
      <c r="H66" s="13">
        <f t="shared" ref="H66:H81" si="4">SUM(C66:G66)</f>
        <v>1983062.75</v>
      </c>
      <c r="I66"/>
    </row>
    <row r="67" spans="1:9" x14ac:dyDescent="0.2">
      <c r="A67" s="1" t="s">
        <v>767</v>
      </c>
      <c r="B67" s="6">
        <v>3112</v>
      </c>
      <c r="C67" s="73">
        <f>'DOE25'!F118</f>
        <v>1189725</v>
      </c>
      <c r="D67" s="23"/>
      <c r="E67" s="23"/>
      <c r="F67" s="23"/>
      <c r="G67" s="23"/>
      <c r="H67" s="13">
        <f t="shared" si="4"/>
        <v>1189725</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9081.68</v>
      </c>
      <c r="D69" s="73">
        <f>'DOE25'!G120</f>
        <v>0</v>
      </c>
      <c r="E69" s="73">
        <f>'DOE25'!H120</f>
        <v>0</v>
      </c>
      <c r="F69" s="73">
        <f>'DOE25'!I120</f>
        <v>0</v>
      </c>
      <c r="G69" s="73">
        <f>'DOE25'!J120</f>
        <v>0</v>
      </c>
      <c r="H69" s="13">
        <f t="shared" si="4"/>
        <v>9081.68</v>
      </c>
      <c r="I69"/>
    </row>
    <row r="70" spans="1:9" ht="12" thickTop="1" x14ac:dyDescent="0.2">
      <c r="A70" s="28" t="s">
        <v>252</v>
      </c>
      <c r="B70" s="2"/>
      <c r="C70" s="97">
        <f>SUM(C66:C69)</f>
        <v>3181869.43</v>
      </c>
      <c r="D70" s="97">
        <f>D69</f>
        <v>0</v>
      </c>
      <c r="E70" s="97">
        <f>E69</f>
        <v>0</v>
      </c>
      <c r="F70" s="97">
        <f>F69</f>
        <v>0</v>
      </c>
      <c r="G70" s="97">
        <f>G69</f>
        <v>0</v>
      </c>
      <c r="H70" s="13">
        <f t="shared" si="4"/>
        <v>3181869.43</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27551.1</v>
      </c>
      <c r="D75" s="23" t="s">
        <v>288</v>
      </c>
      <c r="E75" s="23" t="s">
        <v>288</v>
      </c>
      <c r="F75" s="23" t="s">
        <v>288</v>
      </c>
      <c r="G75" s="23" t="s">
        <v>288</v>
      </c>
      <c r="H75" s="13">
        <f t="shared" si="4"/>
        <v>27551.1</v>
      </c>
      <c r="I75"/>
    </row>
    <row r="76" spans="1:9" x14ac:dyDescent="0.2">
      <c r="A76" s="1" t="s">
        <v>257</v>
      </c>
      <c r="B76" s="6" t="s">
        <v>179</v>
      </c>
      <c r="C76" s="73">
        <f>SUM('DOE25'!F127:F130)</f>
        <v>2797.5</v>
      </c>
      <c r="D76" s="23" t="s">
        <v>288</v>
      </c>
      <c r="E76" s="73">
        <f>SUM('DOE25'!H127:H130)</f>
        <v>0</v>
      </c>
      <c r="F76" s="73">
        <f>SUM('DOE25'!I127:I130)</f>
        <v>0</v>
      </c>
      <c r="G76" s="23" t="s">
        <v>288</v>
      </c>
      <c r="H76" s="13">
        <f t="shared" si="4"/>
        <v>2797.5</v>
      </c>
      <c r="I76"/>
    </row>
    <row r="77" spans="1:9" ht="12" thickBot="1" x14ac:dyDescent="0.25">
      <c r="A77" s="1" t="s">
        <v>258</v>
      </c>
      <c r="B77" s="6" t="s">
        <v>180</v>
      </c>
      <c r="C77" s="73">
        <f>SUM('DOE25'!F131:F135)</f>
        <v>0</v>
      </c>
      <c r="D77" s="73">
        <f>SUM('DOE25'!G131:G135)</f>
        <v>4030.6</v>
      </c>
      <c r="E77" s="73">
        <f>SUM('DOE25'!H131:H135)</f>
        <v>0</v>
      </c>
      <c r="F77" s="73">
        <f>SUM('DOE25'!I131:I135)</f>
        <v>0</v>
      </c>
      <c r="G77" s="73">
        <f>SUM('DOE25'!J131:J135)</f>
        <v>0</v>
      </c>
      <c r="H77" s="13">
        <f t="shared" si="4"/>
        <v>4030.6</v>
      </c>
      <c r="I77"/>
    </row>
    <row r="78" spans="1:9" ht="12.75" thickTop="1" thickBot="1" x14ac:dyDescent="0.25">
      <c r="A78" s="28" t="s">
        <v>259</v>
      </c>
      <c r="B78" s="6"/>
      <c r="C78" s="93">
        <f>SUM(C72:C77)</f>
        <v>30348.6</v>
      </c>
      <c r="D78" s="93">
        <f>SUM(D72:D77)</f>
        <v>4030.6</v>
      </c>
      <c r="E78" s="93">
        <f>SUM(E72:E77)</f>
        <v>0</v>
      </c>
      <c r="F78" s="93">
        <f>SUM(F72:F77)</f>
        <v>0</v>
      </c>
      <c r="G78" s="93">
        <f>SUM(G72:G77)</f>
        <v>0</v>
      </c>
      <c r="H78" s="13">
        <f t="shared" si="4"/>
        <v>34379.199999999997</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3212218.0300000003</v>
      </c>
      <c r="D81" s="93">
        <f>SUM(D79:D80)+D78+D70</f>
        <v>4030.6</v>
      </c>
      <c r="E81" s="93">
        <f>SUM(E79:E80)+E78+E70</f>
        <v>0</v>
      </c>
      <c r="F81" s="93">
        <f>SUM(F79:F80)+F78+F70</f>
        <v>0</v>
      </c>
      <c r="G81" s="93">
        <f>SUM(G79:G80)+G78+G70</f>
        <v>0</v>
      </c>
      <c r="H81" s="93">
        <f t="shared" si="4"/>
        <v>3216248.6300000004</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0</v>
      </c>
      <c r="F87" s="73">
        <f>SUM('DOE25'!I149:I152)</f>
        <v>0</v>
      </c>
      <c r="G87" s="23" t="s">
        <v>288</v>
      </c>
      <c r="H87" s="13">
        <f t="shared" si="5"/>
        <v>0</v>
      </c>
    </row>
    <row r="88" spans="1:9" x14ac:dyDescent="0.2">
      <c r="A88" s="216" t="s">
        <v>744</v>
      </c>
      <c r="B88" s="230" t="s">
        <v>184</v>
      </c>
      <c r="C88" s="252">
        <f>SUM('DOE25'!F153:F162)</f>
        <v>27972.77</v>
      </c>
      <c r="D88" s="252">
        <f>SUM('DOE25'!G153:G162)</f>
        <v>56896.45</v>
      </c>
      <c r="E88" s="252">
        <f>SUM('DOE25'!H153:H162)</f>
        <v>607965.63</v>
      </c>
      <c r="F88" s="252">
        <f>SUM('DOE25'!I153:I162)</f>
        <v>0</v>
      </c>
      <c r="G88" s="23" t="s">
        <v>288</v>
      </c>
      <c r="H88" s="13">
        <f t="shared" si="5"/>
        <v>692834.85</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0</v>
      </c>
      <c r="D90" s="23" t="s">
        <v>288</v>
      </c>
      <c r="E90" s="23" t="s">
        <v>288</v>
      </c>
      <c r="F90" s="23" t="s">
        <v>288</v>
      </c>
      <c r="G90" s="23" t="s">
        <v>288</v>
      </c>
      <c r="H90" s="13">
        <f t="shared" si="5"/>
        <v>0</v>
      </c>
    </row>
    <row r="91" spans="1:9" ht="12.75" thickTop="1" thickBot="1" x14ac:dyDescent="0.25">
      <c r="A91" s="32" t="s">
        <v>747</v>
      </c>
      <c r="C91" s="94">
        <f>SUM(C85:C90)</f>
        <v>27972.77</v>
      </c>
      <c r="D91" s="94">
        <f>SUM(D85:D90)</f>
        <v>56896.45</v>
      </c>
      <c r="E91" s="94">
        <f>SUM(E85:E90)</f>
        <v>607965.63</v>
      </c>
      <c r="F91" s="94">
        <f>SUM(F85:F90)</f>
        <v>0</v>
      </c>
      <c r="G91" s="23" t="s">
        <v>288</v>
      </c>
      <c r="H91" s="13">
        <f t="shared" si="5"/>
        <v>692834.85</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15615.28</v>
      </c>
      <c r="E96" s="73">
        <f>'DOE25'!H180</f>
        <v>0</v>
      </c>
      <c r="F96" s="73">
        <f>'DOE25'!I180</f>
        <v>0</v>
      </c>
      <c r="G96" s="73">
        <f>'DOE25'!J180</f>
        <v>190000</v>
      </c>
      <c r="H96" s="13">
        <f t="shared" si="5"/>
        <v>205615.28</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0</v>
      </c>
      <c r="D103" s="68">
        <f>SUM(D93:D102)</f>
        <v>15615.28</v>
      </c>
      <c r="E103" s="68">
        <f>SUM(E93:E102)</f>
        <v>0</v>
      </c>
      <c r="F103" s="68">
        <f>SUM(F93:F102)</f>
        <v>0</v>
      </c>
      <c r="G103" s="68">
        <f>SUM(G93:G102)</f>
        <v>190000</v>
      </c>
      <c r="H103" s="68">
        <f t="shared" si="5"/>
        <v>205615.28</v>
      </c>
    </row>
    <row r="104" spans="1:8" ht="12.75" thickTop="1" thickBot="1" x14ac:dyDescent="0.25">
      <c r="A104" s="32" t="s">
        <v>758</v>
      </c>
      <c r="C104" s="68">
        <f>C63+C81+C91+C103</f>
        <v>12919331.190000001</v>
      </c>
      <c r="D104" s="68">
        <f>D63+D81+D91+D103</f>
        <v>179678.22</v>
      </c>
      <c r="E104" s="68">
        <f>E63+E81+E91+E103</f>
        <v>608634.63</v>
      </c>
      <c r="F104" s="68">
        <f>F63+F81+F91+F103</f>
        <v>0</v>
      </c>
      <c r="G104" s="68">
        <f>G63+G81+G103</f>
        <v>220342.23</v>
      </c>
      <c r="H104" s="68">
        <f t="shared" si="5"/>
        <v>13927986.270000003</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3878393.07</v>
      </c>
      <c r="D109" s="23" t="s">
        <v>288</v>
      </c>
      <c r="E109" s="73">
        <f>('DOE25'!L277)+('DOE25'!L296)+('DOE25'!L315)</f>
        <v>115407.9</v>
      </c>
      <c r="F109" s="23" t="s">
        <v>288</v>
      </c>
      <c r="G109" s="23" t="s">
        <v>288</v>
      </c>
      <c r="H109" s="13">
        <f t="shared" ref="H109:H115" si="6">SUM(C109:G109)</f>
        <v>3993800.9699999997</v>
      </c>
    </row>
    <row r="110" spans="1:8" x14ac:dyDescent="0.2">
      <c r="A110" t="s">
        <v>198</v>
      </c>
      <c r="B110" s="31" t="s">
        <v>199</v>
      </c>
      <c r="C110" s="73">
        <f>('DOE25'!L199)+('DOE25'!L217)+('DOE25'!L235)</f>
        <v>1413844.77</v>
      </c>
      <c r="D110" s="23" t="s">
        <v>288</v>
      </c>
      <c r="E110" s="73">
        <f>('DOE25'!L278)+('DOE25'!L297)+('DOE25'!L316)</f>
        <v>62640.430000000008</v>
      </c>
      <c r="F110" s="23" t="s">
        <v>288</v>
      </c>
      <c r="G110" s="23" t="s">
        <v>288</v>
      </c>
      <c r="H110" s="13">
        <f t="shared" si="6"/>
        <v>1476485.2</v>
      </c>
    </row>
    <row r="111" spans="1:8" x14ac:dyDescent="0.2">
      <c r="A111" t="s">
        <v>200</v>
      </c>
      <c r="B111" s="31" t="s">
        <v>165</v>
      </c>
      <c r="C111" s="73">
        <f>('DOE25'!L200)+('DOE25'!L218)+('DOE25'!L236)</f>
        <v>13127.12</v>
      </c>
      <c r="D111" s="23" t="s">
        <v>288</v>
      </c>
      <c r="E111" s="73">
        <f>('DOE25'!L279)+('DOE25'!L298)+('DOE25'!L317)</f>
        <v>0</v>
      </c>
      <c r="F111" s="23" t="s">
        <v>288</v>
      </c>
      <c r="G111" s="23" t="s">
        <v>288</v>
      </c>
      <c r="H111" s="13">
        <f t="shared" si="6"/>
        <v>13127.12</v>
      </c>
    </row>
    <row r="112" spans="1:8" x14ac:dyDescent="0.2">
      <c r="A112" t="s">
        <v>201</v>
      </c>
      <c r="B112" s="31" t="s">
        <v>167</v>
      </c>
      <c r="C112" s="73">
        <f>('DOE25'!L201)+('DOE25'!L219)+('DOE25'!L237)</f>
        <v>327667.92000000004</v>
      </c>
      <c r="D112" s="23" t="s">
        <v>288</v>
      </c>
      <c r="E112" s="73">
        <f>+('DOE25'!L280)+('DOE25'!L299)+('DOE25'!L318)</f>
        <v>54887.340000000004</v>
      </c>
      <c r="F112" s="23" t="s">
        <v>288</v>
      </c>
      <c r="G112" s="23" t="s">
        <v>288</v>
      </c>
      <c r="H112" s="13">
        <f t="shared" si="6"/>
        <v>382555.26000000007</v>
      </c>
    </row>
    <row r="113" spans="1:8" x14ac:dyDescent="0.2">
      <c r="A113" t="s">
        <v>202</v>
      </c>
      <c r="B113" s="31" t="s">
        <v>169</v>
      </c>
      <c r="C113" s="73">
        <f>'DOE25'!L251</f>
        <v>0</v>
      </c>
      <c r="D113" s="23" t="s">
        <v>288</v>
      </c>
      <c r="E113" s="73">
        <f>+'DOE25'!L333</f>
        <v>51968.14</v>
      </c>
      <c r="F113" s="23" t="s">
        <v>288</v>
      </c>
      <c r="G113" s="23" t="s">
        <v>288</v>
      </c>
      <c r="H113" s="13">
        <f t="shared" si="6"/>
        <v>51968.14</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5633032.8799999999</v>
      </c>
      <c r="D115" s="68">
        <f>SUM(D109:D114)</f>
        <v>0</v>
      </c>
      <c r="E115" s="68">
        <f>SUM(E109:E114)</f>
        <v>284903.81</v>
      </c>
      <c r="F115" s="68">
        <f>SUM(F109:F114)</f>
        <v>0</v>
      </c>
      <c r="G115" s="68">
        <f>SUM(G109:G114)</f>
        <v>0</v>
      </c>
      <c r="H115" s="68">
        <f t="shared" si="6"/>
        <v>5917936.6899999995</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2374182.9299999997</v>
      </c>
      <c r="D118" s="23" t="s">
        <v>288</v>
      </c>
      <c r="E118" s="73">
        <f>+('DOE25'!L282)+('DOE25'!L301)+('DOE25'!L320)</f>
        <v>122180.92</v>
      </c>
      <c r="F118" s="23" t="s">
        <v>288</v>
      </c>
      <c r="G118" s="23" t="s">
        <v>288</v>
      </c>
      <c r="H118" s="13">
        <f t="shared" ref="H118:H145" si="7">SUM(C118:G118)</f>
        <v>2496363.8499999996</v>
      </c>
    </row>
    <row r="119" spans="1:8" x14ac:dyDescent="0.2">
      <c r="A119" t="s">
        <v>208</v>
      </c>
      <c r="B119" s="31" t="s">
        <v>209</v>
      </c>
      <c r="C119" s="73">
        <f>('DOE25'!L204)+('DOE25'!L222)+('DOE25'!L240)</f>
        <v>293492.92000000004</v>
      </c>
      <c r="D119" s="23" t="s">
        <v>288</v>
      </c>
      <c r="E119" s="73">
        <f>+('DOE25'!L283)+('DOE25'!L302)+('DOE25'!L321)</f>
        <v>27598.97</v>
      </c>
      <c r="F119" s="23" t="s">
        <v>288</v>
      </c>
      <c r="G119" s="23" t="s">
        <v>288</v>
      </c>
      <c r="H119" s="13">
        <f t="shared" si="7"/>
        <v>321091.89</v>
      </c>
    </row>
    <row r="120" spans="1:8" x14ac:dyDescent="0.2">
      <c r="A120" t="s">
        <v>210</v>
      </c>
      <c r="B120" s="31" t="s">
        <v>211</v>
      </c>
      <c r="C120" s="73">
        <f>('DOE25'!L205)+('DOE25'!L223)+('DOE25'!L241)</f>
        <v>494123.97000000003</v>
      </c>
      <c r="D120" s="23" t="s">
        <v>288</v>
      </c>
      <c r="E120" s="73">
        <f>+('DOE25'!L284)+('DOE25'!L303)+('DOE25'!L322)</f>
        <v>5366.2699999999995</v>
      </c>
      <c r="F120" s="23" t="s">
        <v>288</v>
      </c>
      <c r="G120" s="23" t="s">
        <v>288</v>
      </c>
      <c r="H120" s="13">
        <f t="shared" si="7"/>
        <v>499490.24000000005</v>
      </c>
    </row>
    <row r="121" spans="1:8" x14ac:dyDescent="0.2">
      <c r="A121" t="s">
        <v>212</v>
      </c>
      <c r="B121" s="31" t="s">
        <v>213</v>
      </c>
      <c r="C121" s="73">
        <f>('DOE25'!L206)+('DOE25'!L224)+('DOE25'!L242)</f>
        <v>825686.32000000007</v>
      </c>
      <c r="D121" s="23" t="s">
        <v>288</v>
      </c>
      <c r="E121" s="73">
        <f>+('DOE25'!L285)+('DOE25'!L304)+('DOE25'!L323)</f>
        <v>3029.3900000000003</v>
      </c>
      <c r="F121" s="23" t="s">
        <v>288</v>
      </c>
      <c r="G121" s="23" t="s">
        <v>288</v>
      </c>
      <c r="H121" s="13">
        <f t="shared" si="7"/>
        <v>828715.71000000008</v>
      </c>
    </row>
    <row r="122" spans="1:8" x14ac:dyDescent="0.2">
      <c r="A122" t="s">
        <v>214</v>
      </c>
      <c r="B122" s="31" t="s">
        <v>215</v>
      </c>
      <c r="C122" s="73">
        <f>('DOE25'!L207)+('DOE25'!L225)+('DOE25'!L243)</f>
        <v>277125.92000000004</v>
      </c>
      <c r="D122" s="23" t="s">
        <v>288</v>
      </c>
      <c r="E122" s="73">
        <f>+('DOE25'!L286)+('DOE25'!L305)+('DOE25'!L324)</f>
        <v>0</v>
      </c>
      <c r="F122" s="23" t="s">
        <v>288</v>
      </c>
      <c r="G122" s="23" t="s">
        <v>288</v>
      </c>
      <c r="H122" s="13">
        <f t="shared" si="7"/>
        <v>277125.92000000004</v>
      </c>
    </row>
    <row r="123" spans="1:8" x14ac:dyDescent="0.2">
      <c r="A123" t="s">
        <v>216</v>
      </c>
      <c r="B123" s="31" t="s">
        <v>217</v>
      </c>
      <c r="C123" s="73">
        <f>('DOE25'!L208)+('DOE25'!L226)+('DOE25'!L244)</f>
        <v>1316058.29</v>
      </c>
      <c r="D123" s="23" t="s">
        <v>288</v>
      </c>
      <c r="E123" s="73">
        <f>+('DOE25'!L287)+('DOE25'!L306)+('DOE25'!L325)</f>
        <v>206872.95</v>
      </c>
      <c r="F123" s="23" t="s">
        <v>288</v>
      </c>
      <c r="G123" s="23" t="s">
        <v>288</v>
      </c>
      <c r="H123" s="13">
        <f t="shared" si="7"/>
        <v>1522931.24</v>
      </c>
    </row>
    <row r="124" spans="1:8" x14ac:dyDescent="0.2">
      <c r="A124" t="s">
        <v>218</v>
      </c>
      <c r="B124" s="31" t="s">
        <v>219</v>
      </c>
      <c r="C124" s="73">
        <f>('DOE25'!L209)+('DOE25'!L227)+('DOE25'!L245+'DOE25'!L255)</f>
        <v>795965.83</v>
      </c>
      <c r="D124" s="23" t="s">
        <v>288</v>
      </c>
      <c r="E124" s="73">
        <f>+('DOE25'!L288)+('DOE25'!L307)+('DOE25'!L326)</f>
        <v>14177.26</v>
      </c>
      <c r="F124" s="23" t="s">
        <v>288</v>
      </c>
      <c r="G124" s="23" t="s">
        <v>288</v>
      </c>
      <c r="H124" s="13">
        <f t="shared" si="7"/>
        <v>810143.09</v>
      </c>
    </row>
    <row r="125" spans="1:8" x14ac:dyDescent="0.2">
      <c r="A125" t="s">
        <v>220</v>
      </c>
      <c r="B125" s="31" t="s">
        <v>221</v>
      </c>
      <c r="C125" s="73">
        <f>('DOE25'!L210)+('DOE25'!L228)+('DOE25'!L246)</f>
        <v>403495.74000000005</v>
      </c>
      <c r="D125" s="23" t="s">
        <v>288</v>
      </c>
      <c r="E125" s="73">
        <f>+('DOE25'!L289)+('DOE25'!L308)+('DOE25'!L327)</f>
        <v>0</v>
      </c>
      <c r="F125" s="23" t="s">
        <v>288</v>
      </c>
      <c r="G125" s="23" t="s">
        <v>288</v>
      </c>
      <c r="H125" s="13">
        <f t="shared" si="7"/>
        <v>403495.74000000005</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387219.52000000008</v>
      </c>
      <c r="E127" s="23" t="s">
        <v>288</v>
      </c>
      <c r="F127" s="23" t="s">
        <v>288</v>
      </c>
      <c r="G127" s="23" t="s">
        <v>288</v>
      </c>
      <c r="H127" s="13">
        <f t="shared" si="7"/>
        <v>387219.52000000008</v>
      </c>
    </row>
    <row r="128" spans="1:8" ht="12.75" thickTop="1" thickBot="1" x14ac:dyDescent="0.25">
      <c r="A128" s="32" t="s">
        <v>226</v>
      </c>
      <c r="C128" s="68">
        <f>SUM(C118:C127)</f>
        <v>6780131.9199999999</v>
      </c>
      <c r="D128" s="68">
        <f>SUM(D118:D127)</f>
        <v>387219.52000000008</v>
      </c>
      <c r="E128" s="68">
        <f>SUM(E118:E127)</f>
        <v>379225.76</v>
      </c>
      <c r="F128" s="68">
        <f>SUM(F118:F127)</f>
        <v>0</v>
      </c>
      <c r="G128" s="68">
        <f>SUM(G118:G127)</f>
        <v>0</v>
      </c>
      <c r="H128" s="68">
        <f t="shared" si="7"/>
        <v>7546577.2000000002</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380000</v>
      </c>
      <c r="D131" s="23" t="s">
        <v>288</v>
      </c>
      <c r="E131" s="92">
        <f>'DOE25'!L342</f>
        <v>0</v>
      </c>
      <c r="F131" s="23" t="s">
        <v>288</v>
      </c>
      <c r="G131" s="23" t="s">
        <v>288</v>
      </c>
      <c r="H131" s="13">
        <f t="shared" si="7"/>
        <v>380000</v>
      </c>
    </row>
    <row r="132" spans="1:8" x14ac:dyDescent="0.2">
      <c r="A132" t="s">
        <v>230</v>
      </c>
      <c r="B132" s="31">
        <v>5120</v>
      </c>
      <c r="C132" s="73">
        <f>'DOE25'!L262</f>
        <v>224590</v>
      </c>
      <c r="D132" s="23" t="s">
        <v>288</v>
      </c>
      <c r="E132" s="92">
        <f>'DOE25'!L343</f>
        <v>0</v>
      </c>
      <c r="F132" s="23" t="s">
        <v>288</v>
      </c>
      <c r="G132" s="23" t="s">
        <v>288</v>
      </c>
      <c r="H132" s="13">
        <f t="shared" si="7"/>
        <v>224590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15615.28</v>
      </c>
      <c r="D135" s="23" t="s">
        <v>288</v>
      </c>
      <c r="E135" s="92">
        <f>'DOE25'!L346</f>
        <v>0</v>
      </c>
      <c r="F135" s="23" t="s">
        <v>288</v>
      </c>
      <c r="G135" s="23" t="s">
        <v>288</v>
      </c>
      <c r="H135" s="13">
        <f t="shared" si="7"/>
        <v>15615.28</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220342.22999999998</v>
      </c>
      <c r="D139" s="23" t="s">
        <v>288</v>
      </c>
      <c r="E139" s="23" t="s">
        <v>288</v>
      </c>
      <c r="F139" s="23" t="s">
        <v>288</v>
      </c>
      <c r="G139" s="23" t="s">
        <v>288</v>
      </c>
      <c r="H139" s="13">
        <f t="shared" si="7"/>
        <v>220342.22999999998</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-30342.229999999981</v>
      </c>
      <c r="D141" s="23" t="s">
        <v>288</v>
      </c>
      <c r="E141" s="23" t="s">
        <v>288</v>
      </c>
      <c r="F141" s="23" t="s">
        <v>288</v>
      </c>
      <c r="G141" s="23" t="s">
        <v>288</v>
      </c>
      <c r="H141" s="13">
        <f t="shared" si="7"/>
        <v>-30342.229999999981</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810205.28</v>
      </c>
      <c r="D144" s="98">
        <f>SUM(D130:D143)</f>
        <v>0</v>
      </c>
      <c r="E144" s="98">
        <f>SUM(E130:E143)</f>
        <v>0</v>
      </c>
      <c r="F144" s="98">
        <f>SUM(F130:F143)</f>
        <v>0</v>
      </c>
      <c r="G144" s="98">
        <f>SUM(G130:G143)</f>
        <v>0</v>
      </c>
      <c r="H144" s="98">
        <f t="shared" si="7"/>
        <v>810205.28</v>
      </c>
    </row>
    <row r="145" spans="1:9" ht="12.75" thickTop="1" thickBot="1" x14ac:dyDescent="0.25">
      <c r="A145" s="32" t="s">
        <v>244</v>
      </c>
      <c r="C145" s="68">
        <f>(C115+C128+C144)</f>
        <v>13223370.08</v>
      </c>
      <c r="D145" s="68">
        <f>(D115+D128+D144)</f>
        <v>387219.52000000008</v>
      </c>
      <c r="E145" s="68">
        <f>(E115+E128+E144)</f>
        <v>664129.57000000007</v>
      </c>
      <c r="F145" s="68">
        <f>(F115+F128+F144)</f>
        <v>0</v>
      </c>
      <c r="G145" s="68">
        <f>(G115+G128+G144)</f>
        <v>0</v>
      </c>
      <c r="H145" s="68">
        <f t="shared" si="7"/>
        <v>14274719.17</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20</v>
      </c>
      <c r="C151" s="110">
        <f>'DOE25'!G491</f>
        <v>0</v>
      </c>
      <c r="D151" s="110">
        <f>'DOE25'!H491</f>
        <v>0</v>
      </c>
      <c r="E151" s="110">
        <f>'DOE25'!I491</f>
        <v>0</v>
      </c>
      <c r="F151" s="110">
        <f>'DOE25'!J491</f>
        <v>0</v>
      </c>
      <c r="G151" s="23" t="s">
        <v>288</v>
      </c>
    </row>
    <row r="152" spans="1:9" x14ac:dyDescent="0.2">
      <c r="A152" s="21" t="s">
        <v>28</v>
      </c>
      <c r="B152" s="109" t="str">
        <f>'DOE25'!F492</f>
        <v>07/14</v>
      </c>
      <c r="C152" s="109">
        <f>'DOE25'!G492</f>
        <v>0</v>
      </c>
      <c r="D152" s="109">
        <f>'DOE25'!H492</f>
        <v>0</v>
      </c>
      <c r="E152" s="109">
        <f>'DOE25'!I492</f>
        <v>0</v>
      </c>
      <c r="F152" s="109">
        <f>'DOE25'!J492</f>
        <v>0</v>
      </c>
      <c r="G152" s="23" t="s">
        <v>288</v>
      </c>
    </row>
    <row r="153" spans="1:9" x14ac:dyDescent="0.2">
      <c r="A153" s="21" t="s">
        <v>29</v>
      </c>
      <c r="B153" s="109" t="str">
        <f>'DOE25'!F493</f>
        <v>08/34</v>
      </c>
      <c r="C153" s="109">
        <f>'DOE25'!G493</f>
        <v>0</v>
      </c>
      <c r="D153" s="109">
        <f>'DOE25'!H493</f>
        <v>0</v>
      </c>
      <c r="E153" s="109">
        <f>'DOE25'!I493</f>
        <v>0</v>
      </c>
      <c r="F153" s="109">
        <f>'DOE25'!J493</f>
        <v>0</v>
      </c>
      <c r="G153" s="23" t="s">
        <v>288</v>
      </c>
    </row>
    <row r="154" spans="1:9" x14ac:dyDescent="0.2">
      <c r="A154" s="21" t="s">
        <v>30</v>
      </c>
      <c r="B154" s="19">
        <f>'DOE25'!F494</f>
        <v>7640000</v>
      </c>
      <c r="C154" s="19">
        <f>'DOE25'!G494</f>
        <v>0</v>
      </c>
      <c r="D154" s="19">
        <f>'DOE25'!H494</f>
        <v>0</v>
      </c>
      <c r="E154" s="19">
        <f>'DOE25'!I494</f>
        <v>0</v>
      </c>
      <c r="F154" s="19">
        <f>'DOE25'!J494</f>
        <v>0</v>
      </c>
      <c r="G154" s="23" t="s">
        <v>288</v>
      </c>
    </row>
    <row r="155" spans="1:9" x14ac:dyDescent="0.2">
      <c r="A155" s="21" t="s">
        <v>31</v>
      </c>
      <c r="B155" s="19">
        <f>'DOE25'!F495</f>
        <v>5.0999999999999996</v>
      </c>
      <c r="C155" s="19">
        <f>'DOE25'!G495</f>
        <v>0</v>
      </c>
      <c r="D155" s="19">
        <f>'DOE25'!H495</f>
        <v>0</v>
      </c>
      <c r="E155" s="19">
        <f>'DOE25'!I495</f>
        <v>0</v>
      </c>
      <c r="F155" s="19">
        <f>'DOE25'!J495</f>
        <v>0</v>
      </c>
      <c r="G155" s="23" t="s">
        <v>288</v>
      </c>
    </row>
    <row r="156" spans="1:9" x14ac:dyDescent="0.2">
      <c r="A156" s="21" t="s">
        <v>32</v>
      </c>
      <c r="B156" s="19">
        <f>'DOE25'!F496</f>
        <v>5730000</v>
      </c>
      <c r="C156" s="19">
        <f>'DOE25'!G496</f>
        <v>0</v>
      </c>
      <c r="D156" s="19">
        <f>'DOE25'!H496</f>
        <v>0</v>
      </c>
      <c r="E156" s="19">
        <f>'DOE25'!I496</f>
        <v>0</v>
      </c>
      <c r="F156" s="19">
        <f>'DOE25'!J496</f>
        <v>0</v>
      </c>
      <c r="G156" s="96">
        <f>SUM(B156:F156)</f>
        <v>5730000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380000</v>
      </c>
      <c r="C158" s="19">
        <f>'DOE25'!G498</f>
        <v>0</v>
      </c>
      <c r="D158" s="19">
        <f>'DOE25'!H498</f>
        <v>0</v>
      </c>
      <c r="E158" s="19">
        <f>'DOE25'!I498</f>
        <v>0</v>
      </c>
      <c r="F158" s="19">
        <f>'DOE25'!J498</f>
        <v>0</v>
      </c>
      <c r="G158" s="96">
        <f t="shared" si="8"/>
        <v>380000</v>
      </c>
    </row>
    <row r="159" spans="1:9" x14ac:dyDescent="0.2">
      <c r="A159" s="21" t="s">
        <v>35</v>
      </c>
      <c r="B159" s="19">
        <f>'DOE25'!F499</f>
        <v>5350000</v>
      </c>
      <c r="C159" s="19">
        <f>'DOE25'!G499</f>
        <v>0</v>
      </c>
      <c r="D159" s="19">
        <f>'DOE25'!H499</f>
        <v>0</v>
      </c>
      <c r="E159" s="19">
        <f>'DOE25'!I499</f>
        <v>0</v>
      </c>
      <c r="F159" s="19">
        <f>'DOE25'!J499</f>
        <v>0</v>
      </c>
      <c r="G159" s="96">
        <f t="shared" si="8"/>
        <v>5350000</v>
      </c>
    </row>
    <row r="160" spans="1:9" x14ac:dyDescent="0.2">
      <c r="A160" s="21" t="s">
        <v>36</v>
      </c>
      <c r="B160" s="19">
        <f>'DOE25'!F500</f>
        <v>1062035</v>
      </c>
      <c r="C160" s="19">
        <f>'DOE25'!G500</f>
        <v>0</v>
      </c>
      <c r="D160" s="19">
        <f>'DOE25'!H500</f>
        <v>0</v>
      </c>
      <c r="E160" s="19">
        <f>'DOE25'!I500</f>
        <v>0</v>
      </c>
      <c r="F160" s="19">
        <f>'DOE25'!J500</f>
        <v>0</v>
      </c>
      <c r="G160" s="96">
        <f t="shared" si="8"/>
        <v>1062035</v>
      </c>
    </row>
    <row r="161" spans="1:7" x14ac:dyDescent="0.2">
      <c r="A161" s="21" t="s">
        <v>37</v>
      </c>
      <c r="B161" s="19">
        <f>'DOE25'!F501</f>
        <v>6412035</v>
      </c>
      <c r="C161" s="19">
        <f>'DOE25'!G501</f>
        <v>0</v>
      </c>
      <c r="D161" s="19">
        <f>'DOE25'!H501</f>
        <v>0</v>
      </c>
      <c r="E161" s="19">
        <f>'DOE25'!I501</f>
        <v>0</v>
      </c>
      <c r="F161" s="19">
        <f>'DOE25'!J501</f>
        <v>0</v>
      </c>
      <c r="G161" s="96">
        <f t="shared" si="8"/>
        <v>6412035</v>
      </c>
    </row>
    <row r="162" spans="1:7" x14ac:dyDescent="0.2">
      <c r="A162" s="21" t="s">
        <v>38</v>
      </c>
      <c r="B162" s="19">
        <f>'DOE25'!F502</f>
        <v>400000</v>
      </c>
      <c r="C162" s="19">
        <f>'DOE25'!G502</f>
        <v>0</v>
      </c>
      <c r="D162" s="19">
        <f>'DOE25'!H502</f>
        <v>0</v>
      </c>
      <c r="E162" s="19">
        <f>'DOE25'!I502</f>
        <v>0</v>
      </c>
      <c r="F162" s="19">
        <f>'DOE25'!J502</f>
        <v>0</v>
      </c>
      <c r="G162" s="96">
        <f t="shared" si="8"/>
        <v>400000</v>
      </c>
    </row>
    <row r="163" spans="1:7" x14ac:dyDescent="0.2">
      <c r="A163" s="21" t="s">
        <v>39</v>
      </c>
      <c r="B163" s="19">
        <f>'DOE25'!F503</f>
        <v>204700</v>
      </c>
      <c r="C163" s="19">
        <f>'DOE25'!G503</f>
        <v>0</v>
      </c>
      <c r="D163" s="19">
        <f>'DOE25'!H503</f>
        <v>0</v>
      </c>
      <c r="E163" s="19">
        <f>'DOE25'!I503</f>
        <v>0</v>
      </c>
      <c r="F163" s="19">
        <f>'DOE25'!J503</f>
        <v>0</v>
      </c>
      <c r="G163" s="96">
        <f t="shared" si="8"/>
        <v>204700</v>
      </c>
    </row>
    <row r="164" spans="1:7" x14ac:dyDescent="0.2">
      <c r="A164" s="21" t="s">
        <v>246</v>
      </c>
      <c r="B164" s="19">
        <f>'DOE25'!F504</f>
        <v>604700</v>
      </c>
      <c r="C164" s="19">
        <f>'DOE25'!G504</f>
        <v>0</v>
      </c>
      <c r="D164" s="19">
        <f>'DOE25'!H504</f>
        <v>0</v>
      </c>
      <c r="E164" s="19">
        <f>'DOE25'!I504</f>
        <v>0</v>
      </c>
      <c r="F164" s="19">
        <f>'DOE25'!J504</f>
        <v>0</v>
      </c>
      <c r="G164" s="96">
        <f t="shared" si="8"/>
        <v>604700</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8" sqref="C18"/>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5" t="s">
        <v>713</v>
      </c>
      <c r="B2" s="134" t="str">
        <f>'DOE25'!A2</f>
        <v>Wilton-Lyndeborough Cooperative</v>
      </c>
    </row>
    <row r="3" spans="1:4" x14ac:dyDescent="0.2">
      <c r="B3" s="136" t="s">
        <v>1792</v>
      </c>
    </row>
    <row r="4" spans="1:4" x14ac:dyDescent="0.2">
      <c r="B4" t="s">
        <v>61</v>
      </c>
      <c r="C4" s="128">
        <f>IF('DOE25'!F666+'DOE25'!F671=0,0,ROUND('DOE25'!F673,0))</f>
        <v>21315</v>
      </c>
    </row>
    <row r="5" spans="1:4" x14ac:dyDescent="0.2">
      <c r="B5" t="s">
        <v>700</v>
      </c>
      <c r="C5" s="128">
        <f>IF('DOE25'!G666+'DOE25'!G671=0,0,ROUND('DOE25'!G673,0))</f>
        <v>20294</v>
      </c>
    </row>
    <row r="6" spans="1:4" x14ac:dyDescent="0.2">
      <c r="B6" t="s">
        <v>62</v>
      </c>
      <c r="C6" s="128">
        <f>IF('DOE25'!H666+'DOE25'!H671=0,0,ROUND('DOE25'!H673,0))</f>
        <v>23396</v>
      </c>
    </row>
    <row r="7" spans="1:4" x14ac:dyDescent="0.2">
      <c r="B7" t="s">
        <v>701</v>
      </c>
      <c r="C7" s="128">
        <f>IF('DOE25'!I666+'DOE25'!I671=0,0,ROUND('DOE25'!I673,0))</f>
        <v>21599</v>
      </c>
    </row>
    <row r="9" spans="1:4" x14ac:dyDescent="0.2">
      <c r="A9" s="135" t="s">
        <v>94</v>
      </c>
      <c r="B9" s="136" t="s">
        <v>1793</v>
      </c>
      <c r="C9" s="130" t="s">
        <v>720</v>
      </c>
      <c r="D9" s="130" t="s">
        <v>721</v>
      </c>
    </row>
    <row r="10" spans="1:4" x14ac:dyDescent="0.2">
      <c r="A10">
        <v>1100</v>
      </c>
      <c r="B10" t="s">
        <v>702</v>
      </c>
      <c r="C10" s="128">
        <f>ROUND('DOE25'!L198+'DOE25'!L216+'DOE25'!L234+'DOE25'!L277+'DOE25'!L296+'DOE25'!L315,0)</f>
        <v>3993801</v>
      </c>
      <c r="D10" s="131">
        <f>ROUND((C10/$C$28)*100,1)</f>
        <v>29.4</v>
      </c>
    </row>
    <row r="11" spans="1:4" x14ac:dyDescent="0.2">
      <c r="A11">
        <v>1200</v>
      </c>
      <c r="B11" t="s">
        <v>703</v>
      </c>
      <c r="C11" s="128">
        <f>ROUND('DOE25'!L199+'DOE25'!L217+'DOE25'!L235+'DOE25'!L278+'DOE25'!L297+'DOE25'!L316,0)</f>
        <v>1476485</v>
      </c>
      <c r="D11" s="131">
        <f>ROUND((C11/$C$28)*100,1)</f>
        <v>10.9</v>
      </c>
    </row>
    <row r="12" spans="1:4" x14ac:dyDescent="0.2">
      <c r="A12">
        <v>1300</v>
      </c>
      <c r="B12" t="s">
        <v>704</v>
      </c>
      <c r="C12" s="128">
        <f>ROUND('DOE25'!L200+'DOE25'!L218+'DOE25'!L236+'DOE25'!L279+'DOE25'!L298+'DOE25'!L317,0)</f>
        <v>13127</v>
      </c>
      <c r="D12" s="131">
        <f>ROUND((C12/$C$28)*100,1)</f>
        <v>0.1</v>
      </c>
    </row>
    <row r="13" spans="1:4" x14ac:dyDescent="0.2">
      <c r="A13">
        <v>1400</v>
      </c>
      <c r="B13" t="s">
        <v>705</v>
      </c>
      <c r="C13" s="128">
        <f>ROUND('DOE25'!L201+'DOE25'!L219+'DOE25'!L237+'DOE25'!L280+'DOE25'!L299+'DOE25'!L318,0)</f>
        <v>382555</v>
      </c>
      <c r="D13" s="131">
        <f>ROUND((C13/$C$28)*100,1)</f>
        <v>2.8</v>
      </c>
    </row>
    <row r="14" spans="1:4" x14ac:dyDescent="0.2">
      <c r="D14" s="131"/>
    </row>
    <row r="15" spans="1:4" x14ac:dyDescent="0.2">
      <c r="A15">
        <v>2100</v>
      </c>
      <c r="B15" t="s">
        <v>706</v>
      </c>
      <c r="C15" s="128">
        <f>ROUND('DOE25'!L203+'DOE25'!L221+'DOE25'!L239+'DOE25'!L282+'DOE25'!L301+'DOE25'!L320,0)</f>
        <v>2496364</v>
      </c>
      <c r="D15" s="131">
        <f t="shared" ref="D15:D27" si="0">ROUND((C15/$C$28)*100,1)</f>
        <v>18.399999999999999</v>
      </c>
    </row>
    <row r="16" spans="1:4" x14ac:dyDescent="0.2">
      <c r="A16">
        <v>2200</v>
      </c>
      <c r="B16" t="s">
        <v>707</v>
      </c>
      <c r="C16" s="128">
        <f>ROUND('DOE25'!L204+'DOE25'!L222+'DOE25'!L240+'DOE25'!L283+'DOE25'!L302+'DOE25'!L321,0)</f>
        <v>321092</v>
      </c>
      <c r="D16" s="131">
        <f t="shared" si="0"/>
        <v>2.4</v>
      </c>
    </row>
    <row r="17" spans="1:4" x14ac:dyDescent="0.2">
      <c r="A17" s="132" t="s">
        <v>723</v>
      </c>
      <c r="B17" t="s">
        <v>738</v>
      </c>
      <c r="C17" s="128">
        <f>ROUND('DOE25'!L205+'DOE25'!L210+'DOE25'!L223+'DOE25'!L228+'DOE25'!L241+'DOE25'!L246+'DOE25'!L284+'DOE25'!L289+'DOE25'!L303+'DOE25'!L308+'DOE25'!L322+'DOE25'!L327,0)</f>
        <v>902986</v>
      </c>
      <c r="D17" s="131">
        <f t="shared" si="0"/>
        <v>6.6</v>
      </c>
    </row>
    <row r="18" spans="1:4" x14ac:dyDescent="0.2">
      <c r="A18">
        <v>2400</v>
      </c>
      <c r="B18" t="s">
        <v>711</v>
      </c>
      <c r="C18" s="128">
        <f>ROUND('DOE25'!L206+'DOE25'!L224+'DOE25'!L242+'DOE25'!L285+'DOE25'!L304+'DOE25'!L323,0)</f>
        <v>828716</v>
      </c>
      <c r="D18" s="131">
        <f t="shared" si="0"/>
        <v>6.1</v>
      </c>
    </row>
    <row r="19" spans="1:4" x14ac:dyDescent="0.2">
      <c r="A19">
        <v>2500</v>
      </c>
      <c r="B19" t="s">
        <v>708</v>
      </c>
      <c r="C19" s="128">
        <f>ROUND('DOE25'!L207+'DOE25'!L225+'DOE25'!L243+'DOE25'!L286+'DOE25'!L305+'DOE25'!L324,0)</f>
        <v>277126</v>
      </c>
      <c r="D19" s="131">
        <f t="shared" si="0"/>
        <v>2</v>
      </c>
    </row>
    <row r="20" spans="1:4" x14ac:dyDescent="0.2">
      <c r="A20">
        <v>2600</v>
      </c>
      <c r="B20" t="s">
        <v>709</v>
      </c>
      <c r="C20" s="128">
        <f>ROUND('DOE25'!L208+'DOE25'!L226+'DOE25'!L244+'DOE25'!L287+'DOE25'!L306+'DOE25'!L325,0)</f>
        <v>1522931</v>
      </c>
      <c r="D20" s="131">
        <f t="shared" si="0"/>
        <v>11.2</v>
      </c>
    </row>
    <row r="21" spans="1:4" x14ac:dyDescent="0.2">
      <c r="A21">
        <v>2700</v>
      </c>
      <c r="B21" t="s">
        <v>710</v>
      </c>
      <c r="C21" s="128">
        <f>ROUND('DOE25'!L209+'DOE25'!L227+'DOE25'!L245+'DOE25'!L288+'DOE25'!L307+'DOE25'!L326,0)</f>
        <v>810143</v>
      </c>
      <c r="D21" s="131">
        <f t="shared" si="0"/>
        <v>6</v>
      </c>
    </row>
    <row r="22" spans="1:4" x14ac:dyDescent="0.2">
      <c r="A22">
        <v>2900</v>
      </c>
      <c r="B22" t="s">
        <v>712</v>
      </c>
      <c r="C22" s="128">
        <v>0</v>
      </c>
      <c r="D22" s="131">
        <f t="shared" si="0"/>
        <v>0</v>
      </c>
    </row>
    <row r="23" spans="1:4" x14ac:dyDescent="0.2">
      <c r="A23">
        <v>1500</v>
      </c>
      <c r="B23" t="s">
        <v>714</v>
      </c>
      <c r="C23" s="128">
        <f>ROUND('DOE25'!L251+'DOE25'!L333,0)</f>
        <v>51968</v>
      </c>
      <c r="D23" s="131">
        <f t="shared" si="0"/>
        <v>0.4</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224590</v>
      </c>
      <c r="D25" s="131">
        <f t="shared" si="0"/>
        <v>1.7</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284084.11</v>
      </c>
      <c r="D27" s="131">
        <f t="shared" si="0"/>
        <v>2.1</v>
      </c>
    </row>
    <row r="28" spans="1:4" x14ac:dyDescent="0.2">
      <c r="B28" s="135" t="s">
        <v>719</v>
      </c>
      <c r="C28" s="129">
        <f>SUM(C10:C27)</f>
        <v>13585968.109999999</v>
      </c>
      <c r="D28" s="133">
        <f>ROUND(SUM(D10:D27),0)</f>
        <v>100</v>
      </c>
    </row>
    <row r="29" spans="1:4" x14ac:dyDescent="0.2">
      <c r="A29">
        <v>4000</v>
      </c>
      <c r="B29" t="s">
        <v>724</v>
      </c>
      <c r="C29" s="128">
        <f>ROUND('DOE25'!L256+'DOE25'!L337+'DOE25'!L375+'DOE25'!L376+'DOE25'!L377+'DOE25'!L378+'DOE25'!L379+'DOE25'!L380+'DOE25'!L381,0)</f>
        <v>0</v>
      </c>
    </row>
    <row r="30" spans="1:4" x14ac:dyDescent="0.2">
      <c r="B30" s="135" t="s">
        <v>725</v>
      </c>
      <c r="C30" s="129">
        <f>SUM(C28:C29)</f>
        <v>13585968.109999999</v>
      </c>
    </row>
    <row r="31" spans="1:4" x14ac:dyDescent="0.2">
      <c r="B31" s="32"/>
      <c r="C31" s="129"/>
    </row>
    <row r="32" spans="1:4" x14ac:dyDescent="0.2">
      <c r="A32">
        <v>5100</v>
      </c>
      <c r="B32" s="32" t="s">
        <v>726</v>
      </c>
      <c r="C32" s="129">
        <f>ROUND('DOE25'!L261+'DOE25'!L342,0)</f>
        <v>380000</v>
      </c>
    </row>
    <row r="34" spans="1:4" x14ac:dyDescent="0.2">
      <c r="A34" s="135" t="s">
        <v>94</v>
      </c>
      <c r="B34" s="136" t="s">
        <v>1794</v>
      </c>
      <c r="C34" s="130" t="s">
        <v>720</v>
      </c>
      <c r="D34" s="130" t="s">
        <v>721</v>
      </c>
    </row>
    <row r="35" spans="1:4" x14ac:dyDescent="0.2">
      <c r="A35">
        <v>1100</v>
      </c>
      <c r="B35" s="71" t="s">
        <v>727</v>
      </c>
      <c r="C35" s="128">
        <f>ROUND('DOE25'!F60+'DOE25'!G60+'DOE25'!H60+'DOE25'!I60+'DOE25'!J60,0)</f>
        <v>9636239</v>
      </c>
      <c r="D35" s="131">
        <f t="shared" ref="D35:D40" si="1">ROUND((C35/$C$41)*100,1)</f>
        <v>70.8</v>
      </c>
    </row>
    <row r="36" spans="1:4" x14ac:dyDescent="0.2">
      <c r="B36" s="71" t="s">
        <v>739</v>
      </c>
      <c r="C36" s="128">
        <f>SUM('DOE25'!F112:J112)-SUM('DOE25'!G97:G110)+('DOE25'!F175+'DOE25'!F176+'DOE25'!I175+'DOE25'!I176)-C35</f>
        <v>73912.620000001043</v>
      </c>
      <c r="D36" s="131">
        <f t="shared" si="1"/>
        <v>0.5</v>
      </c>
    </row>
    <row r="37" spans="1:4" x14ac:dyDescent="0.2">
      <c r="A37" s="132" t="s">
        <v>831</v>
      </c>
      <c r="B37" s="71" t="s">
        <v>728</v>
      </c>
      <c r="C37" s="128">
        <f>ROUND('DOE25'!F117+'DOE25'!F118,0)</f>
        <v>3172788</v>
      </c>
      <c r="D37" s="131">
        <f t="shared" si="1"/>
        <v>23.3</v>
      </c>
    </row>
    <row r="38" spans="1:4" x14ac:dyDescent="0.2">
      <c r="A38" s="132" t="s">
        <v>734</v>
      </c>
      <c r="B38" s="71" t="s">
        <v>729</v>
      </c>
      <c r="C38" s="128">
        <f>ROUND(SUM('DOE25'!F140:J140)-SUM('DOE25'!F117:F119),0)</f>
        <v>43461</v>
      </c>
      <c r="D38" s="131">
        <f t="shared" si="1"/>
        <v>0.3</v>
      </c>
    </row>
    <row r="39" spans="1:4" x14ac:dyDescent="0.2">
      <c r="A39">
        <v>4000</v>
      </c>
      <c r="B39" s="71" t="s">
        <v>730</v>
      </c>
      <c r="C39" s="128">
        <f>ROUND('DOE25'!F170+'DOE25'!G170+'DOE25'!H170+'DOE25'!I170,0)</f>
        <v>692835</v>
      </c>
      <c r="D39" s="131">
        <f t="shared" si="1"/>
        <v>5.0999999999999996</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13619235.620000001</v>
      </c>
      <c r="D41" s="133">
        <f>SUM(D35:D40)</f>
        <v>99.999999999999986</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5" sqref="C5:M5"/>
    </sheetView>
  </sheetViews>
  <sheetFormatPr defaultRowHeight="11.25" x14ac:dyDescent="0.2"/>
  <cols>
    <col min="1" max="1" width="10.33203125" customWidth="1"/>
    <col min="14" max="14" width="6.1640625" customWidth="1"/>
  </cols>
  <sheetData>
    <row r="1" spans="1:13" ht="16.5" thickTop="1" x14ac:dyDescent="0.25">
      <c r="A1" s="339" t="s">
        <v>763</v>
      </c>
      <c r="B1" s="340"/>
      <c r="C1" s="340"/>
      <c r="D1" s="340"/>
      <c r="E1" s="340"/>
      <c r="F1" s="340"/>
      <c r="G1" s="340"/>
      <c r="H1" s="340"/>
      <c r="I1" s="340"/>
      <c r="J1" s="154"/>
      <c r="K1" s="154"/>
      <c r="L1" s="154"/>
      <c r="M1" s="155"/>
    </row>
    <row r="2" spans="1:13" ht="12.75" x14ac:dyDescent="0.2">
      <c r="A2" s="344" t="s">
        <v>760</v>
      </c>
      <c r="B2" s="345"/>
      <c r="C2" s="345"/>
      <c r="D2" s="345"/>
      <c r="E2" s="345"/>
      <c r="F2" s="342" t="str">
        <f>'DOE25'!A2</f>
        <v>Wilton-Lyndeborough Cooperative</v>
      </c>
      <c r="G2" s="343"/>
      <c r="H2" s="343"/>
      <c r="I2" s="343"/>
      <c r="M2" s="156"/>
    </row>
    <row r="3" spans="1:13" x14ac:dyDescent="0.2">
      <c r="A3" s="157" t="s">
        <v>761</v>
      </c>
      <c r="B3" s="130" t="s">
        <v>762</v>
      </c>
      <c r="C3" s="324" t="s">
        <v>764</v>
      </c>
      <c r="D3" s="324"/>
      <c r="E3" s="324"/>
      <c r="F3" s="324"/>
      <c r="G3" s="324"/>
      <c r="H3" s="324"/>
      <c r="I3" s="324"/>
      <c r="J3" s="324"/>
      <c r="K3" s="324"/>
      <c r="L3" s="324"/>
      <c r="M3" s="341"/>
    </row>
    <row r="4" spans="1:13" x14ac:dyDescent="0.2">
      <c r="A4" s="158"/>
      <c r="B4" s="149"/>
      <c r="C4" s="332" t="s">
        <v>1846</v>
      </c>
      <c r="D4" s="332"/>
      <c r="E4" s="332"/>
      <c r="F4" s="332"/>
      <c r="G4" s="332"/>
      <c r="H4" s="332"/>
      <c r="I4" s="332"/>
      <c r="J4" s="332"/>
      <c r="K4" s="332"/>
      <c r="L4" s="332"/>
      <c r="M4" s="333"/>
    </row>
    <row r="5" spans="1:13" x14ac:dyDescent="0.2">
      <c r="A5" s="158"/>
      <c r="B5" s="149"/>
      <c r="C5" s="332"/>
      <c r="D5" s="332"/>
      <c r="E5" s="332"/>
      <c r="F5" s="332"/>
      <c r="G5" s="332"/>
      <c r="H5" s="332"/>
      <c r="I5" s="332"/>
      <c r="J5" s="332"/>
      <c r="K5" s="332"/>
      <c r="L5" s="332"/>
      <c r="M5" s="333"/>
    </row>
    <row r="6" spans="1:13" x14ac:dyDescent="0.2">
      <c r="A6" s="158"/>
      <c r="B6" s="149"/>
      <c r="C6" s="332"/>
      <c r="D6" s="332"/>
      <c r="E6" s="332"/>
      <c r="F6" s="332"/>
      <c r="G6" s="332"/>
      <c r="H6" s="332"/>
      <c r="I6" s="332"/>
      <c r="J6" s="332"/>
      <c r="K6" s="332"/>
      <c r="L6" s="332"/>
      <c r="M6" s="333"/>
    </row>
    <row r="7" spans="1:13" x14ac:dyDescent="0.2">
      <c r="A7" s="158"/>
      <c r="B7" s="149"/>
      <c r="C7" s="332"/>
      <c r="D7" s="332"/>
      <c r="E7" s="332"/>
      <c r="F7" s="332"/>
      <c r="G7" s="332"/>
      <c r="H7" s="332"/>
      <c r="I7" s="332"/>
      <c r="J7" s="332"/>
      <c r="K7" s="332"/>
      <c r="L7" s="332"/>
      <c r="M7" s="333"/>
    </row>
    <row r="8" spans="1:13" x14ac:dyDescent="0.2">
      <c r="A8" s="158"/>
      <c r="B8" s="149"/>
      <c r="C8" s="332"/>
      <c r="D8" s="332"/>
      <c r="E8" s="332"/>
      <c r="F8" s="332"/>
      <c r="G8" s="332"/>
      <c r="H8" s="332"/>
      <c r="I8" s="332"/>
      <c r="J8" s="332"/>
      <c r="K8" s="332"/>
      <c r="L8" s="332"/>
      <c r="M8" s="333"/>
    </row>
    <row r="9" spans="1:13" x14ac:dyDescent="0.2">
      <c r="A9" s="158"/>
      <c r="B9" s="149"/>
      <c r="C9" s="332"/>
      <c r="D9" s="332"/>
      <c r="E9" s="332"/>
      <c r="F9" s="332"/>
      <c r="G9" s="332"/>
      <c r="H9" s="332"/>
      <c r="I9" s="332"/>
      <c r="J9" s="332"/>
      <c r="K9" s="332"/>
      <c r="L9" s="332"/>
      <c r="M9" s="333"/>
    </row>
    <row r="10" spans="1:13" x14ac:dyDescent="0.2">
      <c r="A10" s="158"/>
      <c r="B10" s="149"/>
      <c r="C10" s="332"/>
      <c r="D10" s="332"/>
      <c r="E10" s="332"/>
      <c r="F10" s="332"/>
      <c r="G10" s="332"/>
      <c r="H10" s="332"/>
      <c r="I10" s="332"/>
      <c r="J10" s="332"/>
      <c r="K10" s="332"/>
      <c r="L10" s="332"/>
      <c r="M10" s="333"/>
    </row>
    <row r="11" spans="1:13" x14ac:dyDescent="0.2">
      <c r="A11" s="158"/>
      <c r="B11" s="149"/>
      <c r="C11" s="332"/>
      <c r="D11" s="332"/>
      <c r="E11" s="332"/>
      <c r="F11" s="332"/>
      <c r="G11" s="332"/>
      <c r="H11" s="332"/>
      <c r="I11" s="332"/>
      <c r="J11" s="332"/>
      <c r="K11" s="332"/>
      <c r="L11" s="332"/>
      <c r="M11" s="333"/>
    </row>
    <row r="12" spans="1:13" x14ac:dyDescent="0.2">
      <c r="A12" s="158"/>
      <c r="B12" s="149"/>
      <c r="C12" s="332"/>
      <c r="D12" s="332"/>
      <c r="E12" s="332"/>
      <c r="F12" s="332"/>
      <c r="G12" s="332"/>
      <c r="H12" s="332"/>
      <c r="I12" s="332"/>
      <c r="J12" s="332"/>
      <c r="K12" s="332"/>
      <c r="L12" s="332"/>
      <c r="M12" s="333"/>
    </row>
    <row r="13" spans="1:13" x14ac:dyDescent="0.2">
      <c r="A13" s="158"/>
      <c r="B13" s="149"/>
      <c r="C13" s="332"/>
      <c r="D13" s="332"/>
      <c r="E13" s="332"/>
      <c r="F13" s="332"/>
      <c r="G13" s="332"/>
      <c r="H13" s="332"/>
      <c r="I13" s="332"/>
      <c r="J13" s="332"/>
      <c r="K13" s="332"/>
      <c r="L13" s="332"/>
      <c r="M13" s="333"/>
    </row>
    <row r="14" spans="1:13" x14ac:dyDescent="0.2">
      <c r="A14" s="158"/>
      <c r="B14" s="149"/>
      <c r="C14" s="332"/>
      <c r="D14" s="332"/>
      <c r="E14" s="332"/>
      <c r="F14" s="332"/>
      <c r="G14" s="332"/>
      <c r="H14" s="332"/>
      <c r="I14" s="332"/>
      <c r="J14" s="332"/>
      <c r="K14" s="332"/>
      <c r="L14" s="332"/>
      <c r="M14" s="333"/>
    </row>
    <row r="15" spans="1:13" x14ac:dyDescent="0.2">
      <c r="A15" s="158"/>
      <c r="B15" s="149"/>
      <c r="C15" s="332"/>
      <c r="D15" s="332"/>
      <c r="E15" s="332"/>
      <c r="F15" s="332"/>
      <c r="G15" s="332"/>
      <c r="H15" s="332"/>
      <c r="I15" s="332"/>
      <c r="J15" s="332"/>
      <c r="K15" s="332"/>
      <c r="L15" s="332"/>
      <c r="M15" s="333"/>
    </row>
    <row r="16" spans="1:13" x14ac:dyDescent="0.2">
      <c r="A16" s="158"/>
      <c r="B16" s="149"/>
      <c r="C16" s="332"/>
      <c r="D16" s="332"/>
      <c r="E16" s="332"/>
      <c r="F16" s="332"/>
      <c r="G16" s="332"/>
      <c r="H16" s="332"/>
      <c r="I16" s="332"/>
      <c r="J16" s="332"/>
      <c r="K16" s="332"/>
      <c r="L16" s="332"/>
      <c r="M16" s="333"/>
    </row>
    <row r="17" spans="1:256" x14ac:dyDescent="0.2">
      <c r="A17" s="158"/>
      <c r="B17" s="149"/>
      <c r="C17" s="332"/>
      <c r="D17" s="332"/>
      <c r="E17" s="332"/>
      <c r="F17" s="332"/>
      <c r="G17" s="332"/>
      <c r="H17" s="332"/>
      <c r="I17" s="332"/>
      <c r="J17" s="332"/>
      <c r="K17" s="332"/>
      <c r="L17" s="332"/>
      <c r="M17" s="333"/>
    </row>
    <row r="18" spans="1:256" x14ac:dyDescent="0.2">
      <c r="A18" s="158"/>
      <c r="B18" s="149"/>
      <c r="C18" s="332"/>
      <c r="D18" s="332"/>
      <c r="E18" s="332"/>
      <c r="F18" s="332"/>
      <c r="G18" s="332"/>
      <c r="H18" s="332"/>
      <c r="I18" s="332"/>
      <c r="J18" s="332"/>
      <c r="K18" s="332"/>
      <c r="L18" s="332"/>
      <c r="M18" s="333"/>
    </row>
    <row r="19" spans="1:256" x14ac:dyDescent="0.2">
      <c r="A19" s="158"/>
      <c r="B19" s="149"/>
      <c r="C19" s="332"/>
      <c r="D19" s="332"/>
      <c r="E19" s="332"/>
      <c r="F19" s="332"/>
      <c r="G19" s="332"/>
      <c r="H19" s="332"/>
      <c r="I19" s="332"/>
      <c r="J19" s="332"/>
      <c r="K19" s="332"/>
      <c r="L19" s="332"/>
      <c r="M19" s="333"/>
    </row>
    <row r="20" spans="1:256" x14ac:dyDescent="0.2">
      <c r="A20" s="158"/>
      <c r="B20" s="149"/>
      <c r="C20" s="332"/>
      <c r="D20" s="332"/>
      <c r="E20" s="332"/>
      <c r="F20" s="332"/>
      <c r="G20" s="332"/>
      <c r="H20" s="332"/>
      <c r="I20" s="332"/>
      <c r="J20" s="332"/>
      <c r="K20" s="332"/>
      <c r="L20" s="332"/>
      <c r="M20" s="333"/>
    </row>
    <row r="21" spans="1:256" x14ac:dyDescent="0.2">
      <c r="A21" s="158"/>
      <c r="B21" s="149"/>
      <c r="C21" s="332"/>
      <c r="D21" s="332"/>
      <c r="E21" s="332"/>
      <c r="F21" s="332"/>
      <c r="G21" s="332"/>
      <c r="H21" s="332"/>
      <c r="I21" s="332"/>
      <c r="J21" s="332"/>
      <c r="K21" s="332"/>
      <c r="L21" s="332"/>
      <c r="M21" s="333"/>
    </row>
    <row r="22" spans="1:256" x14ac:dyDescent="0.2">
      <c r="A22" s="158"/>
      <c r="B22" s="149"/>
      <c r="C22" s="332"/>
      <c r="D22" s="332"/>
      <c r="E22" s="332"/>
      <c r="F22" s="332"/>
      <c r="G22" s="332"/>
      <c r="H22" s="332"/>
      <c r="I22" s="332"/>
      <c r="J22" s="332"/>
      <c r="K22" s="332"/>
      <c r="L22" s="332"/>
      <c r="M22" s="333"/>
    </row>
    <row r="23" spans="1:256" x14ac:dyDescent="0.2">
      <c r="A23" s="158"/>
      <c r="B23" s="149"/>
      <c r="C23" s="332"/>
      <c r="D23" s="332"/>
      <c r="E23" s="332"/>
      <c r="F23" s="332"/>
      <c r="G23" s="332"/>
      <c r="H23" s="332"/>
      <c r="I23" s="332"/>
      <c r="J23" s="332"/>
      <c r="K23" s="332"/>
      <c r="L23" s="332"/>
      <c r="M23" s="333"/>
    </row>
    <row r="24" spans="1:256" x14ac:dyDescent="0.2">
      <c r="A24" s="158"/>
      <c r="B24" s="149"/>
      <c r="C24" s="332"/>
      <c r="D24" s="332"/>
      <c r="E24" s="332"/>
      <c r="F24" s="332"/>
      <c r="G24" s="332"/>
      <c r="H24" s="332"/>
      <c r="I24" s="332"/>
      <c r="J24" s="332"/>
      <c r="K24" s="332"/>
      <c r="L24" s="332"/>
      <c r="M24" s="333"/>
    </row>
    <row r="25" spans="1:256" x14ac:dyDescent="0.2">
      <c r="A25" s="158"/>
      <c r="B25" s="149"/>
      <c r="C25" s="332"/>
      <c r="D25" s="332"/>
      <c r="E25" s="332"/>
      <c r="F25" s="332"/>
      <c r="G25" s="332"/>
      <c r="H25" s="332"/>
      <c r="I25" s="332"/>
      <c r="J25" s="332"/>
      <c r="K25" s="332"/>
      <c r="L25" s="332"/>
      <c r="M25" s="333"/>
    </row>
    <row r="26" spans="1:256" x14ac:dyDescent="0.2">
      <c r="A26" s="158"/>
      <c r="B26" s="149"/>
      <c r="C26" s="332"/>
      <c r="D26" s="332"/>
      <c r="E26" s="332"/>
      <c r="F26" s="332"/>
      <c r="G26" s="332"/>
      <c r="H26" s="332"/>
      <c r="I26" s="332"/>
      <c r="J26" s="332"/>
      <c r="K26" s="332"/>
      <c r="L26" s="332"/>
      <c r="M26" s="333"/>
    </row>
    <row r="27" spans="1:256" x14ac:dyDescent="0.2">
      <c r="A27" s="158"/>
      <c r="B27" s="149"/>
      <c r="C27" s="332"/>
      <c r="D27" s="332"/>
      <c r="E27" s="332"/>
      <c r="F27" s="332"/>
      <c r="G27" s="332"/>
      <c r="H27" s="332"/>
      <c r="I27" s="332"/>
      <c r="J27" s="332"/>
      <c r="K27" s="332"/>
      <c r="L27" s="332"/>
      <c r="M27" s="333"/>
    </row>
    <row r="28" spans="1:256" x14ac:dyDescent="0.2">
      <c r="A28" s="158"/>
      <c r="B28" s="149"/>
      <c r="C28" s="332"/>
      <c r="D28" s="332"/>
      <c r="E28" s="332"/>
      <c r="F28" s="332"/>
      <c r="G28" s="332"/>
      <c r="H28" s="332"/>
      <c r="I28" s="332"/>
      <c r="J28" s="332"/>
      <c r="K28" s="332"/>
      <c r="L28" s="332"/>
      <c r="M28" s="333"/>
    </row>
    <row r="29" spans="1:256" x14ac:dyDescent="0.2">
      <c r="A29" s="158"/>
      <c r="B29" s="149"/>
      <c r="C29" s="332"/>
      <c r="D29" s="332"/>
      <c r="E29" s="332"/>
      <c r="F29" s="332"/>
      <c r="G29" s="332"/>
      <c r="H29" s="332"/>
      <c r="I29" s="332"/>
      <c r="J29" s="332"/>
      <c r="K29" s="332"/>
      <c r="L29" s="332"/>
      <c r="M29" s="333"/>
      <c r="N29" s="152"/>
      <c r="O29" s="152"/>
      <c r="P29" s="337"/>
      <c r="Q29" s="337"/>
      <c r="R29" s="337"/>
      <c r="S29" s="337"/>
      <c r="T29" s="337"/>
      <c r="U29" s="337"/>
      <c r="V29" s="337"/>
      <c r="W29" s="337"/>
      <c r="X29" s="337"/>
      <c r="Y29" s="337"/>
      <c r="Z29" s="337"/>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3"/>
      <c r="N30" s="152"/>
      <c r="O30" s="152"/>
      <c r="P30" s="337"/>
      <c r="Q30" s="337"/>
      <c r="R30" s="337"/>
      <c r="S30" s="337"/>
      <c r="T30" s="337"/>
      <c r="U30" s="337"/>
      <c r="V30" s="337"/>
      <c r="W30" s="337"/>
      <c r="X30" s="337"/>
      <c r="Y30" s="337"/>
      <c r="Z30" s="337"/>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3"/>
      <c r="N31" s="152"/>
      <c r="O31" s="152"/>
      <c r="P31" s="337"/>
      <c r="Q31" s="337"/>
      <c r="R31" s="337"/>
      <c r="S31" s="337"/>
      <c r="T31" s="337"/>
      <c r="U31" s="337"/>
      <c r="V31" s="337"/>
      <c r="W31" s="337"/>
      <c r="X31" s="337"/>
      <c r="Y31" s="337"/>
      <c r="Z31" s="337"/>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3"/>
      <c r="N32" s="152"/>
      <c r="O32" s="152"/>
      <c r="P32" s="337"/>
      <c r="Q32" s="337"/>
      <c r="R32" s="337"/>
      <c r="S32" s="337"/>
      <c r="T32" s="337"/>
      <c r="U32" s="337"/>
      <c r="V32" s="337"/>
      <c r="W32" s="337"/>
      <c r="X32" s="337"/>
      <c r="Y32" s="337"/>
      <c r="Z32" s="338"/>
      <c r="AA32" s="158"/>
      <c r="AB32" s="149"/>
      <c r="AC32" s="332"/>
      <c r="AD32" s="332"/>
      <c r="AE32" s="332"/>
      <c r="AF32" s="332"/>
      <c r="AG32" s="332"/>
      <c r="AH32" s="332"/>
      <c r="AI32" s="332"/>
      <c r="AJ32" s="332"/>
      <c r="AK32" s="332"/>
      <c r="AL32" s="332"/>
      <c r="AM32" s="333"/>
      <c r="AN32" s="158"/>
      <c r="AO32" s="149"/>
      <c r="AP32" s="332"/>
      <c r="AQ32" s="332"/>
      <c r="AR32" s="332"/>
      <c r="AS32" s="332"/>
      <c r="AT32" s="332"/>
      <c r="AU32" s="332"/>
      <c r="AV32" s="332"/>
      <c r="AW32" s="332"/>
      <c r="AX32" s="332"/>
      <c r="AY32" s="332"/>
      <c r="AZ32" s="333"/>
      <c r="BA32" s="158"/>
      <c r="BB32" s="149"/>
      <c r="BC32" s="332"/>
      <c r="BD32" s="332"/>
      <c r="BE32" s="332"/>
      <c r="BF32" s="332"/>
      <c r="BG32" s="332"/>
      <c r="BH32" s="332"/>
      <c r="BI32" s="332"/>
      <c r="BJ32" s="332"/>
      <c r="BK32" s="332"/>
      <c r="BL32" s="332"/>
      <c r="BM32" s="333"/>
      <c r="BN32" s="158"/>
      <c r="BO32" s="149"/>
      <c r="BP32" s="332"/>
      <c r="BQ32" s="332"/>
      <c r="BR32" s="332"/>
      <c r="BS32" s="332"/>
      <c r="BT32" s="332"/>
      <c r="BU32" s="332"/>
      <c r="BV32" s="332"/>
      <c r="BW32" s="332"/>
      <c r="BX32" s="332"/>
      <c r="BY32" s="332"/>
      <c r="BZ32" s="333"/>
      <c r="CA32" s="158"/>
      <c r="CB32" s="149"/>
      <c r="CC32" s="332"/>
      <c r="CD32" s="332"/>
      <c r="CE32" s="332"/>
      <c r="CF32" s="332"/>
      <c r="CG32" s="332"/>
      <c r="CH32" s="332"/>
      <c r="CI32" s="332"/>
      <c r="CJ32" s="332"/>
      <c r="CK32" s="332"/>
      <c r="CL32" s="332"/>
      <c r="CM32" s="333"/>
      <c r="CN32" s="158"/>
      <c r="CO32" s="149"/>
      <c r="CP32" s="332"/>
      <c r="CQ32" s="332"/>
      <c r="CR32" s="332"/>
      <c r="CS32" s="332"/>
      <c r="CT32" s="332"/>
      <c r="CU32" s="332"/>
      <c r="CV32" s="332"/>
      <c r="CW32" s="332"/>
      <c r="CX32" s="332"/>
      <c r="CY32" s="332"/>
      <c r="CZ32" s="333"/>
      <c r="DA32" s="158"/>
      <c r="DB32" s="149"/>
      <c r="DC32" s="332"/>
      <c r="DD32" s="332"/>
      <c r="DE32" s="332"/>
      <c r="DF32" s="332"/>
      <c r="DG32" s="332"/>
      <c r="DH32" s="332"/>
      <c r="DI32" s="332"/>
      <c r="DJ32" s="332"/>
      <c r="DK32" s="332"/>
      <c r="DL32" s="332"/>
      <c r="DM32" s="333"/>
      <c r="DN32" s="158"/>
      <c r="DO32" s="149"/>
      <c r="DP32" s="332"/>
      <c r="DQ32" s="332"/>
      <c r="DR32" s="332"/>
      <c r="DS32" s="332"/>
      <c r="DT32" s="332"/>
      <c r="DU32" s="332"/>
      <c r="DV32" s="332"/>
      <c r="DW32" s="332"/>
      <c r="DX32" s="332"/>
      <c r="DY32" s="332"/>
      <c r="DZ32" s="333"/>
      <c r="EA32" s="158"/>
      <c r="EB32" s="149"/>
      <c r="EC32" s="332"/>
      <c r="ED32" s="332"/>
      <c r="EE32" s="332"/>
      <c r="EF32" s="332"/>
      <c r="EG32" s="332"/>
      <c r="EH32" s="332"/>
      <c r="EI32" s="332"/>
      <c r="EJ32" s="332"/>
      <c r="EK32" s="332"/>
      <c r="EL32" s="332"/>
      <c r="EM32" s="333"/>
      <c r="EN32" s="158"/>
      <c r="EO32" s="149"/>
      <c r="EP32" s="332"/>
      <c r="EQ32" s="332"/>
      <c r="ER32" s="332"/>
      <c r="ES32" s="332"/>
      <c r="ET32" s="332"/>
      <c r="EU32" s="332"/>
      <c r="EV32" s="332"/>
      <c r="EW32" s="332"/>
      <c r="EX32" s="332"/>
      <c r="EY32" s="332"/>
      <c r="EZ32" s="333"/>
      <c r="FA32" s="158"/>
      <c r="FB32" s="149"/>
      <c r="FC32" s="332"/>
      <c r="FD32" s="332"/>
      <c r="FE32" s="332"/>
      <c r="FF32" s="332"/>
      <c r="FG32" s="332"/>
      <c r="FH32" s="332"/>
      <c r="FI32" s="332"/>
      <c r="FJ32" s="332"/>
      <c r="FK32" s="332"/>
      <c r="FL32" s="332"/>
      <c r="FM32" s="333"/>
      <c r="FN32" s="158"/>
      <c r="FO32" s="149"/>
      <c r="FP32" s="332"/>
      <c r="FQ32" s="332"/>
      <c r="FR32" s="332"/>
      <c r="FS32" s="332"/>
      <c r="FT32" s="332"/>
      <c r="FU32" s="332"/>
      <c r="FV32" s="332"/>
      <c r="FW32" s="332"/>
      <c r="FX32" s="332"/>
      <c r="FY32" s="332"/>
      <c r="FZ32" s="333"/>
      <c r="GA32" s="158"/>
      <c r="GB32" s="149"/>
      <c r="GC32" s="332"/>
      <c r="GD32" s="332"/>
      <c r="GE32" s="332"/>
      <c r="GF32" s="332"/>
      <c r="GG32" s="332"/>
      <c r="GH32" s="332"/>
      <c r="GI32" s="332"/>
      <c r="GJ32" s="332"/>
      <c r="GK32" s="332"/>
      <c r="GL32" s="332"/>
      <c r="GM32" s="333"/>
      <c r="GN32" s="158"/>
      <c r="GO32" s="149"/>
      <c r="GP32" s="332"/>
      <c r="GQ32" s="332"/>
      <c r="GR32" s="332"/>
      <c r="GS32" s="332"/>
      <c r="GT32" s="332"/>
      <c r="GU32" s="332"/>
      <c r="GV32" s="332"/>
      <c r="GW32" s="332"/>
      <c r="GX32" s="332"/>
      <c r="GY32" s="332"/>
      <c r="GZ32" s="333"/>
      <c r="HA32" s="158"/>
      <c r="HB32" s="149"/>
      <c r="HC32" s="332"/>
      <c r="HD32" s="332"/>
      <c r="HE32" s="332"/>
      <c r="HF32" s="332"/>
      <c r="HG32" s="332"/>
      <c r="HH32" s="332"/>
      <c r="HI32" s="332"/>
      <c r="HJ32" s="332"/>
      <c r="HK32" s="332"/>
      <c r="HL32" s="332"/>
      <c r="HM32" s="333"/>
      <c r="HN32" s="158"/>
      <c r="HO32" s="149"/>
      <c r="HP32" s="332"/>
      <c r="HQ32" s="332"/>
      <c r="HR32" s="332"/>
      <c r="HS32" s="332"/>
      <c r="HT32" s="332"/>
      <c r="HU32" s="332"/>
      <c r="HV32" s="332"/>
      <c r="HW32" s="332"/>
      <c r="HX32" s="332"/>
      <c r="HY32" s="332"/>
      <c r="HZ32" s="333"/>
      <c r="IA32" s="158"/>
      <c r="IB32" s="149"/>
      <c r="IC32" s="332"/>
      <c r="ID32" s="332"/>
      <c r="IE32" s="332"/>
      <c r="IF32" s="332"/>
      <c r="IG32" s="332"/>
      <c r="IH32" s="332"/>
      <c r="II32" s="332"/>
      <c r="IJ32" s="332"/>
      <c r="IK32" s="332"/>
      <c r="IL32" s="332"/>
      <c r="IM32" s="333"/>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3"/>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3"/>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3"/>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3"/>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3"/>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3"/>
      <c r="N38" s="152"/>
      <c r="O38" s="152"/>
      <c r="P38" s="337"/>
      <c r="Q38" s="337"/>
      <c r="R38" s="337"/>
      <c r="S38" s="337"/>
      <c r="T38" s="337"/>
      <c r="U38" s="337"/>
      <c r="V38" s="337"/>
      <c r="W38" s="337"/>
      <c r="X38" s="337"/>
      <c r="Y38" s="337"/>
      <c r="Z38" s="337"/>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3"/>
      <c r="N39" s="152"/>
      <c r="O39" s="152"/>
      <c r="P39" s="337"/>
      <c r="Q39" s="337"/>
      <c r="R39" s="337"/>
      <c r="S39" s="337"/>
      <c r="T39" s="337"/>
      <c r="U39" s="337"/>
      <c r="V39" s="337"/>
      <c r="W39" s="337"/>
      <c r="X39" s="337"/>
      <c r="Y39" s="337"/>
      <c r="Z39" s="337"/>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3"/>
      <c r="N40" s="152"/>
      <c r="O40" s="152"/>
      <c r="P40" s="337"/>
      <c r="Q40" s="337"/>
      <c r="R40" s="337"/>
      <c r="S40" s="337"/>
      <c r="T40" s="337"/>
      <c r="U40" s="337"/>
      <c r="V40" s="337"/>
      <c r="W40" s="337"/>
      <c r="X40" s="337"/>
      <c r="Y40" s="337"/>
      <c r="Z40" s="337"/>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3"/>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3"/>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3"/>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3"/>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3"/>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3"/>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3"/>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3"/>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3"/>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3"/>
    </row>
    <row r="51" spans="1:256" x14ac:dyDescent="0.2">
      <c r="A51" s="158"/>
      <c r="B51" s="149"/>
      <c r="C51" s="332"/>
      <c r="D51" s="332"/>
      <c r="E51" s="332"/>
      <c r="F51" s="332"/>
      <c r="G51" s="332"/>
      <c r="H51" s="332"/>
      <c r="I51" s="332"/>
      <c r="J51" s="332"/>
      <c r="K51" s="332"/>
      <c r="L51" s="332"/>
      <c r="M51" s="333"/>
    </row>
    <row r="52" spans="1:256" x14ac:dyDescent="0.2">
      <c r="A52" s="158"/>
      <c r="B52" s="149"/>
      <c r="C52" s="332"/>
      <c r="D52" s="332"/>
      <c r="E52" s="332"/>
      <c r="F52" s="332"/>
      <c r="G52" s="332"/>
      <c r="H52" s="332"/>
      <c r="I52" s="332"/>
      <c r="J52" s="332"/>
      <c r="K52" s="332"/>
      <c r="L52" s="332"/>
      <c r="M52" s="333"/>
    </row>
    <row r="53" spans="1:256" x14ac:dyDescent="0.2">
      <c r="A53" s="158"/>
      <c r="B53" s="149"/>
      <c r="C53" s="332"/>
      <c r="D53" s="332"/>
      <c r="E53" s="332"/>
      <c r="F53" s="332"/>
      <c r="G53" s="332"/>
      <c r="H53" s="332"/>
      <c r="I53" s="332"/>
      <c r="J53" s="332"/>
      <c r="K53" s="332"/>
      <c r="L53" s="332"/>
      <c r="M53" s="333"/>
    </row>
    <row r="54" spans="1:256" x14ac:dyDescent="0.2">
      <c r="A54" s="158"/>
      <c r="B54" s="149"/>
      <c r="C54" s="332"/>
      <c r="D54" s="332"/>
      <c r="E54" s="332"/>
      <c r="F54" s="332"/>
      <c r="G54" s="332"/>
      <c r="H54" s="332"/>
      <c r="I54" s="332"/>
      <c r="J54" s="332"/>
      <c r="K54" s="332"/>
      <c r="L54" s="332"/>
      <c r="M54" s="333"/>
    </row>
    <row r="55" spans="1:256" x14ac:dyDescent="0.2">
      <c r="A55" s="158"/>
      <c r="B55" s="149"/>
      <c r="C55" s="332"/>
      <c r="D55" s="332"/>
      <c r="E55" s="332"/>
      <c r="F55" s="332"/>
      <c r="G55" s="332"/>
      <c r="H55" s="332"/>
      <c r="I55" s="332"/>
      <c r="J55" s="332"/>
      <c r="K55" s="332"/>
      <c r="L55" s="332"/>
      <c r="M55" s="333"/>
    </row>
    <row r="56" spans="1:256" x14ac:dyDescent="0.2">
      <c r="A56" s="158"/>
      <c r="B56" s="149"/>
      <c r="C56" s="332"/>
      <c r="D56" s="332"/>
      <c r="E56" s="332"/>
      <c r="F56" s="332"/>
      <c r="G56" s="332"/>
      <c r="H56" s="332"/>
      <c r="I56" s="332"/>
      <c r="J56" s="332"/>
      <c r="K56" s="332"/>
      <c r="L56" s="332"/>
      <c r="M56" s="333"/>
    </row>
    <row r="57" spans="1:256" x14ac:dyDescent="0.2">
      <c r="A57" s="158"/>
      <c r="B57" s="149"/>
      <c r="C57" s="332"/>
      <c r="D57" s="332"/>
      <c r="E57" s="332"/>
      <c r="F57" s="332"/>
      <c r="G57" s="332"/>
      <c r="H57" s="332"/>
      <c r="I57" s="332"/>
      <c r="J57" s="332"/>
      <c r="K57" s="332"/>
      <c r="L57" s="332"/>
      <c r="M57" s="333"/>
    </row>
    <row r="58" spans="1:256" x14ac:dyDescent="0.2">
      <c r="A58" s="158"/>
      <c r="B58" s="149"/>
      <c r="C58" s="332"/>
      <c r="D58" s="332"/>
      <c r="E58" s="332"/>
      <c r="F58" s="332"/>
      <c r="G58" s="332"/>
      <c r="H58" s="332"/>
      <c r="I58" s="332"/>
      <c r="J58" s="332"/>
      <c r="K58" s="332"/>
      <c r="L58" s="332"/>
      <c r="M58" s="333"/>
    </row>
    <row r="59" spans="1:256" x14ac:dyDescent="0.2">
      <c r="A59" s="158"/>
      <c r="B59" s="149"/>
      <c r="C59" s="332"/>
      <c r="D59" s="332"/>
      <c r="E59" s="332"/>
      <c r="F59" s="332"/>
      <c r="G59" s="332"/>
      <c r="H59" s="332"/>
      <c r="I59" s="332"/>
      <c r="J59" s="332"/>
      <c r="K59" s="332"/>
      <c r="L59" s="332"/>
      <c r="M59" s="333"/>
    </row>
    <row r="60" spans="1:256" x14ac:dyDescent="0.2">
      <c r="A60" s="158"/>
      <c r="B60" s="149"/>
      <c r="C60" s="332"/>
      <c r="D60" s="332"/>
      <c r="E60" s="332"/>
      <c r="F60" s="332"/>
      <c r="G60" s="332"/>
      <c r="H60" s="332"/>
      <c r="I60" s="332"/>
      <c r="J60" s="332"/>
      <c r="K60" s="332"/>
      <c r="L60" s="332"/>
      <c r="M60" s="333"/>
    </row>
    <row r="61" spans="1:256" x14ac:dyDescent="0.2">
      <c r="A61" s="158"/>
      <c r="B61" s="149"/>
      <c r="C61" s="332"/>
      <c r="D61" s="332"/>
      <c r="E61" s="332"/>
      <c r="F61" s="332"/>
      <c r="G61" s="332"/>
      <c r="H61" s="332"/>
      <c r="I61" s="332"/>
      <c r="J61" s="332"/>
      <c r="K61" s="332"/>
      <c r="L61" s="332"/>
      <c r="M61" s="333"/>
    </row>
    <row r="62" spans="1:256" x14ac:dyDescent="0.2">
      <c r="A62" s="158"/>
      <c r="B62" s="149"/>
      <c r="C62" s="332"/>
      <c r="D62" s="332"/>
      <c r="E62" s="332"/>
      <c r="F62" s="332"/>
      <c r="G62" s="332"/>
      <c r="H62" s="332"/>
      <c r="I62" s="332"/>
      <c r="J62" s="332"/>
      <c r="K62" s="332"/>
      <c r="L62" s="332"/>
      <c r="M62" s="333"/>
    </row>
    <row r="63" spans="1:256" x14ac:dyDescent="0.2">
      <c r="A63" s="158"/>
      <c r="B63" s="149"/>
      <c r="C63" s="332"/>
      <c r="D63" s="332"/>
      <c r="E63" s="332"/>
      <c r="F63" s="332"/>
      <c r="G63" s="332"/>
      <c r="H63" s="332"/>
      <c r="I63" s="332"/>
      <c r="J63" s="332"/>
      <c r="K63" s="332"/>
      <c r="L63" s="332"/>
      <c r="M63" s="333"/>
    </row>
    <row r="64" spans="1:256" x14ac:dyDescent="0.2">
      <c r="A64" s="158"/>
      <c r="B64" s="149"/>
      <c r="C64" s="332"/>
      <c r="D64" s="332"/>
      <c r="E64" s="332"/>
      <c r="F64" s="332"/>
      <c r="G64" s="332"/>
      <c r="H64" s="332"/>
      <c r="I64" s="332"/>
      <c r="J64" s="332"/>
      <c r="K64" s="332"/>
      <c r="L64" s="332"/>
      <c r="M64" s="333"/>
    </row>
    <row r="65" spans="1:13" x14ac:dyDescent="0.2">
      <c r="A65" s="158"/>
      <c r="B65" s="149"/>
      <c r="C65" s="332"/>
      <c r="D65" s="332"/>
      <c r="E65" s="332"/>
      <c r="F65" s="332"/>
      <c r="G65" s="332"/>
      <c r="H65" s="332"/>
      <c r="I65" s="332"/>
      <c r="J65" s="332"/>
      <c r="K65" s="332"/>
      <c r="L65" s="332"/>
      <c r="M65" s="333"/>
    </row>
    <row r="66" spans="1:13" x14ac:dyDescent="0.2">
      <c r="A66" s="158"/>
      <c r="B66" s="149"/>
      <c r="C66" s="332"/>
      <c r="D66" s="332"/>
      <c r="E66" s="332"/>
      <c r="F66" s="332"/>
      <c r="G66" s="332"/>
      <c r="H66" s="332"/>
      <c r="I66" s="332"/>
      <c r="J66" s="332"/>
      <c r="K66" s="332"/>
      <c r="L66" s="332"/>
      <c r="M66" s="333"/>
    </row>
    <row r="67" spans="1:13" x14ac:dyDescent="0.2">
      <c r="A67" s="158"/>
      <c r="B67" s="149"/>
      <c r="C67" s="332"/>
      <c r="D67" s="332"/>
      <c r="E67" s="332"/>
      <c r="F67" s="332"/>
      <c r="G67" s="332"/>
      <c r="H67" s="332"/>
      <c r="I67" s="332"/>
      <c r="J67" s="332"/>
      <c r="K67" s="332"/>
      <c r="L67" s="332"/>
      <c r="M67" s="333"/>
    </row>
    <row r="68" spans="1:13" x14ac:dyDescent="0.2">
      <c r="A68" s="158"/>
      <c r="B68" s="149"/>
      <c r="C68" s="332"/>
      <c r="D68" s="332"/>
      <c r="E68" s="332"/>
      <c r="F68" s="332"/>
      <c r="G68" s="332"/>
      <c r="H68" s="332"/>
      <c r="I68" s="332"/>
      <c r="J68" s="332"/>
      <c r="K68" s="332"/>
      <c r="L68" s="332"/>
      <c r="M68" s="333"/>
    </row>
    <row r="69" spans="1:13" x14ac:dyDescent="0.2">
      <c r="A69" s="158"/>
      <c r="B69" s="149"/>
      <c r="C69" s="332"/>
      <c r="D69" s="332"/>
      <c r="E69" s="332"/>
      <c r="F69" s="332"/>
      <c r="G69" s="332"/>
      <c r="H69" s="332"/>
      <c r="I69" s="332"/>
      <c r="J69" s="332"/>
      <c r="K69" s="332"/>
      <c r="L69" s="332"/>
      <c r="M69" s="333"/>
    </row>
    <row r="70" spans="1:13" ht="12" thickBot="1" x14ac:dyDescent="0.25">
      <c r="A70" s="159"/>
      <c r="B70" s="160"/>
      <c r="C70" s="334"/>
      <c r="D70" s="334"/>
      <c r="E70" s="334"/>
      <c r="F70" s="334"/>
      <c r="G70" s="334"/>
      <c r="H70" s="334"/>
      <c r="I70" s="334"/>
      <c r="J70" s="334"/>
      <c r="K70" s="334"/>
      <c r="L70" s="334"/>
      <c r="M70" s="335"/>
    </row>
    <row r="71" spans="1:13" ht="12" thickTop="1" x14ac:dyDescent="0.2">
      <c r="A71" s="150"/>
      <c r="B71" s="150"/>
      <c r="C71" s="151"/>
      <c r="D71" s="151"/>
      <c r="E71" s="151"/>
      <c r="F71" s="151"/>
      <c r="G71" s="151"/>
      <c r="H71" s="151"/>
      <c r="I71" s="151"/>
      <c r="J71" s="151"/>
      <c r="K71" s="151"/>
      <c r="L71" s="151"/>
    </row>
    <row r="72" spans="1:13" ht="12.75" x14ac:dyDescent="0.2">
      <c r="A72" s="336" t="s">
        <v>828</v>
      </c>
      <c r="B72" s="336"/>
      <c r="C72" s="336"/>
      <c r="D72" s="336"/>
      <c r="E72" s="336"/>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O95" workbookViewId="0">
      <selection activeCell="AF4" sqref="AF4:AF104"/>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IFERROR(SMALL($I$4:$I$385,ROWS($I$4:I4)),"")</f>
        <v>87</v>
      </c>
      <c r="K4" s="256" t="b">
        <f>C4=C5</f>
        <v>0</v>
      </c>
      <c r="L4">
        <v>113</v>
      </c>
      <c r="M4" t="s">
        <v>978</v>
      </c>
      <c r="N4" t="s">
        <v>1600</v>
      </c>
      <c r="O4">
        <v>27010</v>
      </c>
      <c r="P4" t="s">
        <v>1517</v>
      </c>
      <c r="Q4">
        <v>9</v>
      </c>
      <c r="R4" t="s">
        <v>1662</v>
      </c>
      <c r="S4" s="281">
        <f>ROWS($Q$4:Q4)</f>
        <v>1</v>
      </c>
      <c r="T4" s="281" t="str">
        <f>IF('School Level Expenditures'!$B$2='School Tables'!L4,'School Tables'!S4,"")</f>
        <v/>
      </c>
      <c r="U4" s="281">
        <f>IFERROR(SMALL($T$4:$T$95,ROWS($T$4:T4)),"")</f>
        <v>73</v>
      </c>
      <c r="V4" s="256" t="b">
        <f>N4=N5</f>
        <v>0</v>
      </c>
      <c r="W4">
        <v>725</v>
      </c>
      <c r="X4" t="s">
        <v>1494</v>
      </c>
      <c r="Y4" t="s">
        <v>1495</v>
      </c>
      <c r="Z4">
        <v>28615</v>
      </c>
      <c r="AA4" t="s">
        <v>1518</v>
      </c>
      <c r="AB4">
        <v>411</v>
      </c>
      <c r="AC4" t="s">
        <v>1494</v>
      </c>
      <c r="AD4" s="281">
        <f>ROWS($AC$4:AC4)</f>
        <v>1</v>
      </c>
      <c r="AE4" s="281" t="str">
        <f>IF('School Level Expenditures'!$B$2='School Tables'!W4,'School Tables'!AD4,"")</f>
        <v/>
      </c>
      <c r="AF4" s="281">
        <f>IFERROR(SMALL(AE4:$AE$125,ROWS($AE$4:AE4)),"")</f>
        <v>96</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f>IFERROR(SMALL($I$4:$I$385,ROWS($I$4:I5)),"")</f>
        <v>173</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IFERROR(SMALL($T$4:$T$95,ROWS($T$4:T5)),"")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IFERROR(SMALL(AE5:$AE$125,ROWS($AE$4:AE5)),"")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IFERROR(SMALL($I$4:$I$385,ROWS($I$4:I6)),"")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IFERROR(SMALL($T$4:$T$95,ROWS($T$4:T6)),"")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IFERROR(SMALL(AE6:$AE$125,ROWS($AE$4:AE6)),"")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IFERROR(SMALL($I$4:$I$385,ROWS($I$4:I7)),"")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IFERROR(SMALL($T$4:$T$95,ROWS($T$4:T7)),"")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IFERROR(SMALL(AE7:$AE$125,ROWS($AE$4:AE7)),"")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IFERROR(SMALL($I$4:$I$385,ROWS($I$4:I8)),"")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IFERROR(SMALL($T$4:$T$95,ROWS($T$4:T8)),"")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IFERROR(SMALL(AE8:$AE$125,ROWS($AE$4:AE8)),"")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IFERROR(SMALL($I$4:$I$385,ROWS($I$4:I9)),"")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IFERROR(SMALL($T$4:$T$95,ROWS($T$4:T9)),"")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IFERROR(SMALL(AE9:$AE$125,ROWS($AE$4:AE9)),"")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IFERROR(SMALL($I$4:$I$385,ROWS($I$4:I10)),"")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IFERROR(SMALL($T$4:$T$95,ROWS($T$4:T10)),"")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IFERROR(SMALL(AE10:$AE$125,ROWS($AE$4:AE10)),"")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IFERROR(SMALL($I$4:$I$385,ROWS($I$4:I11)),"")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IFERROR(SMALL($T$4:$T$95,ROWS($T$4:T11)),"")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IFERROR(SMALL(AE11:$AE$125,ROWS($AE$4:AE11)),"")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IFERROR(SMALL($I$4:$I$385,ROWS($I$4:I12)),"")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IFERROR(SMALL($T$4:$T$95,ROWS($T$4:T12)),"")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IFERROR(SMALL(AE12:$AE$125,ROWS($AE$4:AE12)),"")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IFERROR(SMALL($I$4:$I$385,ROWS($I$4:I13)),"")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IFERROR(SMALL($T$4:$T$95,ROWS($T$4:T13)),"")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IFERROR(SMALL(AE13:$AE$125,ROWS($AE$4:AE13)),"")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IFERROR(SMALL($I$4:$I$385,ROWS($I$4:I14)),"")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IFERROR(SMALL($T$4:$T$95,ROWS($T$4:T14)),"")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IFERROR(SMALL(AE14:$AE$125,ROWS($AE$4:AE14)),"")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IFERROR(SMALL($I$4:$I$385,ROWS($I$4:I15)),"")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IFERROR(SMALL($T$4:$T$95,ROWS($T$4:T15)),"")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IFERROR(SMALL(AE15:$AE$125,ROWS($AE$4:AE15)),"")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IFERROR(SMALL($I$4:$I$385,ROWS($I$4:I16)),"")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IFERROR(SMALL($T$4:$T$95,ROWS($T$4:T16)),"")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IFERROR(SMALL(AE16:$AE$125,ROWS($AE$4:AE16)),"")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IFERROR(SMALL($I$4:$I$385,ROWS($I$4:I17)),"")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IFERROR(SMALL($T$4:$T$95,ROWS($T$4:T17)),"")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IFERROR(SMALL(AE17:$AE$125,ROWS($AE$4:AE17)),"")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IFERROR(SMALL($I$4:$I$385,ROWS($I$4:I18)),"")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IFERROR(SMALL($T$4:$T$95,ROWS($T$4:T18)),"")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IFERROR(SMALL(AE18:$AE$125,ROWS($AE$4:AE18)),"")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IFERROR(SMALL($I$4:$I$385,ROWS($I$4:I19)),"")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IFERROR(SMALL($T$4:$T$95,ROWS($T$4:T19)),"")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IFERROR(SMALL(AE19:$AE$125,ROWS($AE$4:AE19)),"")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IFERROR(SMALL($I$4:$I$385,ROWS($I$4:I20)),"")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IFERROR(SMALL($T$4:$T$95,ROWS($T$4:T20)),"")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IFERROR(SMALL(AE20:$AE$125,ROWS($AE$4:AE20)),"")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IFERROR(SMALL($I$4:$I$385,ROWS($I$4:I21)),"")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IFERROR(SMALL($T$4:$T$95,ROWS($T$4:T21)),"")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IFERROR(SMALL(AE21:$AE$125,ROWS($AE$4:AE21)),"")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IFERROR(SMALL($I$4:$I$385,ROWS($I$4:I22)),"")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IFERROR(SMALL($T$4:$T$95,ROWS($T$4:T22)),"")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IFERROR(SMALL(AE22:$AE$125,ROWS($AE$4:AE22)),"")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IFERROR(SMALL($I$4:$I$385,ROWS($I$4:I23)),"")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IFERROR(SMALL($T$4:$T$95,ROWS($T$4:T23)),"")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IFERROR(SMALL(AE23:$AE$125,ROWS($AE$4:AE23)),"")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IFERROR(SMALL($I$4:$I$385,ROWS($I$4:I24)),"")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IFERROR(SMALL($T$4:$T$95,ROWS($T$4:T24)),"")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IFERROR(SMALL(AE24:$AE$125,ROWS($AE$4:AE24)),"")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IFERROR(SMALL($I$4:$I$385,ROWS($I$4:I25)),"")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IFERROR(SMALL($T$4:$T$95,ROWS($T$4:T25)),"")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IFERROR(SMALL(AE25:$AE$125,ROWS($AE$4:AE25)),"")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IFERROR(SMALL($I$4:$I$385,ROWS($I$4:I26)),"")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IFERROR(SMALL($T$4:$T$95,ROWS($T$4:T26)),"")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IFERROR(SMALL(AE26:$AE$125,ROWS($AE$4:AE26)),"")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IFERROR(SMALL($I$4:$I$385,ROWS($I$4:I27)),"")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IFERROR(SMALL($T$4:$T$95,ROWS($T$4:T27)),"")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IFERROR(SMALL(AE27:$AE$125,ROWS($AE$4:AE27)),"")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IFERROR(SMALL($I$4:$I$385,ROWS($I$4:I28)),"")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IFERROR(SMALL($T$4:$T$95,ROWS($T$4:T28)),"")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IFERROR(SMALL(AE28:$AE$125,ROWS($AE$4:AE28)),"")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IFERROR(SMALL($I$4:$I$385,ROWS($I$4:I29)),"")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IFERROR(SMALL($T$4:$T$95,ROWS($T$4:T29)),"")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IFERROR(SMALL(AE29:$AE$125,ROWS($AE$4:AE29)),"")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IFERROR(SMALL($I$4:$I$385,ROWS($I$4:I30)),"")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IFERROR(SMALL($T$4:$T$95,ROWS($T$4:T30)),"")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IFERROR(SMALL(AE30:$AE$125,ROWS($AE$4:AE30)),"")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IFERROR(SMALL($I$4:$I$385,ROWS($I$4:I31)),"")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IFERROR(SMALL($T$4:$T$95,ROWS($T$4:T31)),"")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IFERROR(SMALL(AE31:$AE$125,ROWS($AE$4:AE31)),"")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IFERROR(SMALL($I$4:$I$385,ROWS($I$4:I32)),"")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IFERROR(SMALL($T$4:$T$95,ROWS($T$4:T32)),"")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IFERROR(SMALL(AE32:$AE$125,ROWS($AE$4:AE32)),"")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IFERROR(SMALL($I$4:$I$385,ROWS($I$4:I33)),"")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IFERROR(SMALL($T$4:$T$95,ROWS($T$4:T33)),"")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IFERROR(SMALL(AE33:$AE$125,ROWS($AE$4:AE33)),"")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IFERROR(SMALL($I$4:$I$385,ROWS($I$4:I34)),"")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IFERROR(SMALL($T$4:$T$95,ROWS($T$4:T34)),"")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IFERROR(SMALL(AE34:$AE$125,ROWS($AE$4:AE34)),"")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IFERROR(SMALL($I$4:$I$385,ROWS($I$4:I35)),"")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IFERROR(SMALL($T$4:$T$95,ROWS($T$4:T35)),"")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IFERROR(SMALL(AE35:$AE$125,ROWS($AE$4:AE35)),"")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IFERROR(SMALL($I$4:$I$385,ROWS($I$4:I36)),"")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IFERROR(SMALL($T$4:$T$95,ROWS($T$4:T36)),"")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IFERROR(SMALL(AE36:$AE$125,ROWS($AE$4:AE36)),"")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IFERROR(SMALL($I$4:$I$385,ROWS($I$4:I37)),"")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IFERROR(SMALL($T$4:$T$95,ROWS($T$4:T37)),"")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IFERROR(SMALL(AE37:$AE$125,ROWS($AE$4:AE37)),"")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IFERROR(SMALL($I$4:$I$385,ROWS($I$4:I38)),"")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IFERROR(SMALL($T$4:$T$95,ROWS($T$4:T38)),"")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IFERROR(SMALL(AE38:$AE$125,ROWS($AE$4:AE38)),"")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IFERROR(SMALL($I$4:$I$385,ROWS($I$4:I39)),"")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IFERROR(SMALL($T$4:$T$95,ROWS($T$4:T39)),"")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IFERROR(SMALL(AE39:$AE$125,ROWS($AE$4:AE39)),"")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IFERROR(SMALL($I$4:$I$385,ROWS($I$4:I40)),"")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IFERROR(SMALL($T$4:$T$95,ROWS($T$4:T40)),"")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IFERROR(SMALL(AE40:$AE$125,ROWS($AE$4:AE40)),"")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IFERROR(SMALL($I$4:$I$385,ROWS($I$4:I41)),"")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IFERROR(SMALL($T$4:$T$95,ROWS($T$4:T41)),"")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IFERROR(SMALL(AE41:$AE$125,ROWS($AE$4:AE41)),"")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IFERROR(SMALL($I$4:$I$385,ROWS($I$4:I42)),"")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IFERROR(SMALL($T$4:$T$95,ROWS($T$4:T42)),"")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IFERROR(SMALL(AE42:$AE$125,ROWS($AE$4:AE42)),"")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IFERROR(SMALL($I$4:$I$385,ROWS($I$4:I43)),"")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IFERROR(SMALL($T$4:$T$95,ROWS($T$4:T43)),"")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IFERROR(SMALL(AE43:$AE$125,ROWS($AE$4:AE43)),"")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IFERROR(SMALL($I$4:$I$385,ROWS($I$4:I44)),"")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IFERROR(SMALL($T$4:$T$95,ROWS($T$4:T44)),"")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IFERROR(SMALL(AE44:$AE$125,ROWS($AE$4:AE44)),"")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IFERROR(SMALL($I$4:$I$385,ROWS($I$4:I45)),"")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IFERROR(SMALL($T$4:$T$95,ROWS($T$4:T45)),"")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IFERROR(SMALL(AE45:$AE$125,ROWS($AE$4:AE45)),"")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IFERROR(SMALL($I$4:$I$385,ROWS($I$4:I46)),"")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IFERROR(SMALL($T$4:$T$95,ROWS($T$4:T46)),"")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IFERROR(SMALL(AE46:$AE$125,ROWS($AE$4:AE46)),"")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IFERROR(SMALL($I$4:$I$385,ROWS($I$4:I47)),"")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IFERROR(SMALL($T$4:$T$95,ROWS($T$4:T47)),"")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IFERROR(SMALL(AE47:$AE$125,ROWS($AE$4:AE47)),"")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IFERROR(SMALL($I$4:$I$385,ROWS($I$4:I48)),"")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IFERROR(SMALL($T$4:$T$95,ROWS($T$4:T48)),"")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IFERROR(SMALL(AE48:$AE$125,ROWS($AE$4:AE48)),"")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IFERROR(SMALL($I$4:$I$385,ROWS($I$4:I49)),"")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IFERROR(SMALL($T$4:$T$95,ROWS($T$4:T49)),"")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IFERROR(SMALL(AE49:$AE$125,ROWS($AE$4:AE49)),"")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IFERROR(SMALL($I$4:$I$385,ROWS($I$4:I50)),"")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IFERROR(SMALL($T$4:$T$95,ROWS($T$4:T50)),"")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IFERROR(SMALL(AE50:$AE$125,ROWS($AE$4:AE50)),"")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IFERROR(SMALL($I$4:$I$385,ROWS($I$4:I51)),"")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IFERROR(SMALL($T$4:$T$95,ROWS($T$4:T51)),"")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IFERROR(SMALL(AE51:$AE$125,ROWS($AE$4:AE51)),"")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IFERROR(SMALL($I$4:$I$385,ROWS($I$4:I52)),"")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IFERROR(SMALL($T$4:$T$95,ROWS($T$4:T52)),"")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IFERROR(SMALL(AE52:$AE$125,ROWS($AE$4:AE52)),"")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IFERROR(SMALL($I$4:$I$385,ROWS($I$4:I53)),"")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IFERROR(SMALL($T$4:$T$95,ROWS($T$4:T53)),"")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IFERROR(SMALL(AE53:$AE$125,ROWS($AE$4:AE53)),"")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IFERROR(SMALL($I$4:$I$385,ROWS($I$4:I54)),"")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IFERROR(SMALL($T$4:$T$95,ROWS($T$4:T54)),"")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IFERROR(SMALL(AE54:$AE$125,ROWS($AE$4:AE54)),"")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IFERROR(SMALL($I$4:$I$385,ROWS($I$4:I55)),"")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IFERROR(SMALL($T$4:$T$95,ROWS($T$4:T55)),"")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IFERROR(SMALL(AE55:$AE$125,ROWS($AE$4:AE55)),"")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IFERROR(SMALL($I$4:$I$385,ROWS($I$4:I56)),"")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IFERROR(SMALL($T$4:$T$95,ROWS($T$4:T56)),"")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IFERROR(SMALL(AE56:$AE$125,ROWS($AE$4:AE56)),"")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IFERROR(SMALL($I$4:$I$385,ROWS($I$4:I57)),"")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IFERROR(SMALL($T$4:$T$95,ROWS($T$4:T57)),"")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IFERROR(SMALL(AE57:$AE$125,ROWS($AE$4:AE57)),"")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IFERROR(SMALL($I$4:$I$385,ROWS($I$4:I58)),"")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IFERROR(SMALL($T$4:$T$95,ROWS($T$4:T58)),"")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IFERROR(SMALL(AE58:$AE$125,ROWS($AE$4:AE58)),"")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IFERROR(SMALL($I$4:$I$385,ROWS($I$4:I59)),"")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IFERROR(SMALL($T$4:$T$95,ROWS($T$4:T59)),"")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IFERROR(SMALL(AE59:$AE$125,ROWS($AE$4:AE59)),"")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IFERROR(SMALL($I$4:$I$385,ROWS($I$4:I60)),"")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IFERROR(SMALL($T$4:$T$95,ROWS($T$4:T60)),"")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IFERROR(SMALL(AE60:$AE$125,ROWS($AE$4:AE60)),"")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IFERROR(SMALL($I$4:$I$385,ROWS($I$4:I61)),"")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IFERROR(SMALL($T$4:$T$95,ROWS($T$4:T61)),"")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IFERROR(SMALL(AE61:$AE$125,ROWS($AE$4:AE61)),"")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IFERROR(SMALL($I$4:$I$385,ROWS($I$4:I62)),"")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IFERROR(SMALL($T$4:$T$95,ROWS($T$4:T62)),"")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IFERROR(SMALL(AE62:$AE$125,ROWS($AE$4:AE62)),"")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IFERROR(SMALL($I$4:$I$385,ROWS($I$4:I63)),"")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IFERROR(SMALL($T$4:$T$95,ROWS($T$4:T63)),"")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IFERROR(SMALL(AE63:$AE$125,ROWS($AE$4:AE63)),"")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IFERROR(SMALL($I$4:$I$385,ROWS($I$4:I64)),"")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IFERROR(SMALL($T$4:$T$95,ROWS($T$4:T64)),"")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IFERROR(SMALL(AE64:$AE$125,ROWS($AE$4:AE64)),"")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IFERROR(SMALL($I$4:$I$385,ROWS($I$4:I65)),"")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IFERROR(SMALL($T$4:$T$95,ROWS($T$4:T65)),"")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IFERROR(SMALL(AE65:$AE$125,ROWS($AE$4:AE65)),"")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IFERROR(SMALL($I$4:$I$385,ROWS($I$4:I66)),"")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IFERROR(SMALL($T$4:$T$95,ROWS($T$4:T66)),"")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IFERROR(SMALL(AE66:$AE$125,ROWS($AE$4:AE66)),"")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IFERROR(SMALL($I$4:$I$385,ROWS($I$4:I67)),"")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IFERROR(SMALL($T$4:$T$95,ROWS($T$4:T67)),"")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IFERROR(SMALL(AE67:$AE$125,ROWS($AE$4:AE67)),"")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IFERROR(SMALL($I$4:$I$385,ROWS($I$4:I68)),"")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IFERROR(SMALL($T$4:$T$95,ROWS($T$4:T68)),"")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IFERROR(SMALL(AE68:$AE$125,ROWS($AE$4:AE68)),"")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IFERROR(SMALL($I$4:$I$385,ROWS($I$4:I69)),"")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IFERROR(SMALL($T$4:$T$95,ROWS($T$4:T69)),"")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IFERROR(SMALL(AE69:$AE$125,ROWS($AE$4:AE69)),"")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IFERROR(SMALL($I$4:$I$385,ROWS($I$4:I70)),"")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IFERROR(SMALL($T$4:$T$95,ROWS($T$4:T70)),"")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IFERROR(SMALL(AE70:$AE$125,ROWS($AE$4:AE70)),"")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IFERROR(SMALL($I$4:$I$385,ROWS($I$4:I71)),"")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IFERROR(SMALL($T$4:$T$95,ROWS($T$4:T71)),"")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IFERROR(SMALL(AE71:$AE$125,ROWS($AE$4:AE71)),"")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IFERROR(SMALL($I$4:$I$385,ROWS($I$4:I72)),"")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IFERROR(SMALL($T$4:$T$95,ROWS($T$4:T72)),"")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IFERROR(SMALL(AE72:$AE$125,ROWS($AE$4:AE72)),"")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IFERROR(SMALL($I$4:$I$385,ROWS($I$4:I73)),"")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IFERROR(SMALL($T$4:$T$95,ROWS($T$4:T73)),"")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IFERROR(SMALL(AE73:$AE$125,ROWS($AE$4:AE73)),"")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IFERROR(SMALL($I$4:$I$385,ROWS($I$4:I74)),"")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IFERROR(SMALL($T$4:$T$95,ROWS($T$4:T74)),"")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IFERROR(SMALL(AE74:$AE$125,ROWS($AE$4:AE74)),"")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IFERROR(SMALL($I$4:$I$385,ROWS($I$4:I75)),"")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IFERROR(SMALL($T$4:$T$95,ROWS($T$4:T75)),"")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IFERROR(SMALL(AE75:$AE$125,ROWS($AE$4:AE75)),"")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IFERROR(SMALL($I$4:$I$385,ROWS($I$4:I76)),"")</f>
        <v/>
      </c>
      <c r="K76" s="256" t="b">
        <f t="shared" si="6"/>
        <v>0</v>
      </c>
      <c r="L76">
        <v>572</v>
      </c>
      <c r="M76" t="s">
        <v>1457</v>
      </c>
      <c r="N76" t="s">
        <v>1461</v>
      </c>
      <c r="O76">
        <v>26955</v>
      </c>
      <c r="P76" t="s">
        <v>1517</v>
      </c>
      <c r="Q76">
        <v>63</v>
      </c>
      <c r="R76" t="s">
        <v>1675</v>
      </c>
      <c r="S76" s="281">
        <f>ROWS($Q$4:Q76)</f>
        <v>73</v>
      </c>
      <c r="T76" s="281">
        <f>IF('School Level Expenditures'!$B$2='School Tables'!L76,'School Tables'!S76,"")</f>
        <v>73</v>
      </c>
      <c r="U76" s="281" t="str">
        <f>IFERROR(SMALL($T$4:$T$95,ROWS($T$4:T76)),"")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IFERROR(SMALL(AE76:$AE$125,ROWS($AE$4:AE76)),"")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IFERROR(SMALL($I$4:$I$385,ROWS($I$4:I77)),"")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IFERROR(SMALL($T$4:$T$95,ROWS($T$4:T77)),"")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IFERROR(SMALL(AE77:$AE$125,ROWS($AE$4:AE77)),"")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IFERROR(SMALL($I$4:$I$385,ROWS($I$4:I78)),"")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IFERROR(SMALL($T$4:$T$95,ROWS($T$4:T78)),"")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IFERROR(SMALL(AE78:$AE$125,ROWS($AE$4:AE78)),"")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IFERROR(SMALL($I$4:$I$385,ROWS($I$4:I79)),"")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IFERROR(SMALL($T$4:$T$95,ROWS($T$4:T79)),"")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IFERROR(SMALL(AE79:$AE$125,ROWS($AE$4:AE79)),"")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IFERROR(SMALL($I$4:$I$385,ROWS($I$4:I80)),"")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IFERROR(SMALL(AE80:$AE$125,ROWS($AE$4:AE80)),"")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IFERROR(SMALL($I$4:$I$385,ROWS($I$4:I81)),"")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IFERROR(SMALL(AE81:$AE$125,ROWS($AE$4:AE81)),"")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IFERROR(SMALL($I$4:$I$385,ROWS($I$4:I82)),"")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IFERROR(SMALL(AE82:$AE$125,ROWS($AE$4:AE82)),"")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IFERROR(SMALL($I$4:$I$385,ROWS($I$4:I83)),"")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IFERROR(SMALL(AE83:$AE$125,ROWS($AE$4:AE83)),"")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IFERROR(SMALL($I$4:$I$385,ROWS($I$4:I84)),"")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IFERROR(SMALL(AE84:$AE$125,ROWS($AE$4:AE84)),"")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IFERROR(SMALL($I$4:$I$385,ROWS($I$4:I85)),"")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IFERROR(SMALL(AE85:$AE$125,ROWS($AE$4:AE85)),"")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IFERROR(SMALL($I$4:$I$385,ROWS($I$4:I86)),"")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IFERROR(SMALL(AE86:$AE$125,ROWS($AE$4:AE86)),"")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IFERROR(SMALL($I$4:$I$385,ROWS($I$4:I87)),"")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IFERROR(SMALL(AE87:$AE$125,ROWS($AE$4:AE87)),"")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IFERROR(SMALL($I$4:$I$385,ROWS($I$4:I88)),"")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IFERROR(SMALL(AE88:$AE$125,ROWS($AE$4:AE88)),"")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IFERROR(SMALL($I$4:$I$385,ROWS($I$4:I89)),"")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IFERROR(SMALL(AE89:$AE$125,ROWS($AE$4:AE89)),"")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f>IF('School Level Expenditures'!$B$2=A90,'School Tables'!H90,"")</f>
        <v>87</v>
      </c>
      <c r="J90" s="281" t="str">
        <f>IFERROR(SMALL($I$4:$I$385,ROWS($I$4:I90)),"")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IFERROR(SMALL(AE90:$AE$125,ROWS($AE$4:AE90)),"")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IFERROR(SMALL($I$4:$I$385,ROWS($I$4:I91)),"")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IFERROR(SMALL(AE91:$AE$125,ROWS($AE$4:AE91)),"")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IFERROR(SMALL($I$4:$I$385,ROWS($I$4:I92)),"")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IFERROR(SMALL(AE92:$AE$125,ROWS($AE$4:AE92)),"")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IFERROR(SMALL($I$4:$I$385,ROWS($I$4:I93)),"")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IFERROR(SMALL(AE93:$AE$125,ROWS($AE$4:AE93)),"")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IFERROR(SMALL($I$4:$I$385,ROWS($I$4:I94)),"")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IFERROR(SMALL(AE94:$AE$125,ROWS($AE$4:AE94)),"")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IFERROR(SMALL($I$4:$I$385,ROWS($I$4:I95)),"")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IFERROR(SMALL(AE95:$AE$125,ROWS($AE$4:AE95)),"")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IFERROR(SMALL($I$4:$I$385,ROWS($I$4:I96)),"")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IFERROR(SMALL(AE96:$AE$125,ROWS($AE$4:AE96)),"")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IFERROR(SMALL($I$4:$I$385,ROWS($I$4:I97)),"")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IFERROR(SMALL(AE97:$AE$125,ROWS($AE$4:AE97)),"")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IFERROR(SMALL($I$4:$I$385,ROWS($I$4:I98)),"")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IFERROR(SMALL(AE98:$AE$125,ROWS($AE$4:AE98)),"")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IFERROR(SMALL($I$4:$I$385,ROWS($I$4:I99)),"")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f>IF('School Level Expenditures'!$B$2='School Tables'!W99,'School Tables'!AD99,"")</f>
        <v>96</v>
      </c>
      <c r="AF99" s="281" t="str">
        <f>IFERROR(SMALL(AE99:$AE$125,ROWS($AE$4:AE99)),"")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IFERROR(SMALL($I$4:$I$385,ROWS($I$4:I100)),"")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IFERROR(SMALL(AE100:$AE$125,ROWS($AE$4:AE100)),"")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IFERROR(SMALL($I$4:$I$385,ROWS($I$4:I101)),"")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IFERROR(SMALL(AE101:$AE$125,ROWS($AE$4:AE101)),"")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IFERROR(SMALL($I$4:$I$385,ROWS($I$4:I102)),"")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IFERROR(SMALL(AE102:$AE$125,ROWS($AE$4:AE102)),"")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IFERROR(SMALL($I$4:$I$385,ROWS($I$4:I103)),"")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IFERROR(SMALL(AE103:$AE$125,ROWS($AE$4:AE103)),"")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IFERROR(SMALL($I$4:$I$385,ROWS($I$4:I104)),"")</f>
        <v/>
      </c>
      <c r="K104" s="256" t="b">
        <f t="shared" si="6"/>
        <v>0</v>
      </c>
      <c r="P104" s="255"/>
      <c r="Q104" s="255"/>
      <c r="R104" s="255"/>
      <c r="S104" s="255"/>
      <c r="T104" s="255"/>
      <c r="U104" s="255"/>
      <c r="V104" s="255"/>
      <c r="W104" s="216"/>
      <c r="AD104" s="281"/>
      <c r="AE104" s="281"/>
      <c r="AF104" s="281" t="str">
        <f>IFERROR(SMALL(AE104:$AE$125,ROWS($AE$4:AE104)),"")</f>
        <v/>
      </c>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IFERROR(SMALL($I$4:$I$385,ROWS($I$4:I105)),"")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IFERROR(SMALL($I$4:$I$385,ROWS($I$4:I106)),"")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IFERROR(SMALL($I$4:$I$385,ROWS($I$4:I107)),"")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IFERROR(SMALL($I$4:$I$385,ROWS($I$4:I108)),"")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IFERROR(SMALL($I$4:$I$385,ROWS($I$4:I109)),"")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IFERROR(SMALL($I$4:$I$385,ROWS($I$4:I110)),"")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IFERROR(SMALL($I$4:$I$385,ROWS($I$4:I111)),"")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IFERROR(SMALL($I$4:$I$385,ROWS($I$4:I112)),"")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IFERROR(SMALL($I$4:$I$385,ROWS($I$4:I113)),"")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IFERROR(SMALL($I$4:$I$385,ROWS($I$4:I114)),"")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IFERROR(SMALL($I$4:$I$385,ROWS($I$4:I115)),"")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IFERROR(SMALL($I$4:$I$385,ROWS($I$4:I116)),"")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IFERROR(SMALL($I$4:$I$385,ROWS($I$4:I117)),"")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IFERROR(SMALL($I$4:$I$385,ROWS($I$4:I118)),"")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IFERROR(SMALL($I$4:$I$385,ROWS($I$4:I119)),"")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IFERROR(SMALL($I$4:$I$385,ROWS($I$4:I120)),"")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IFERROR(SMALL($I$4:$I$385,ROWS($I$4:I121)),"")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IFERROR(SMALL($I$4:$I$385,ROWS($I$4:I122)),"")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IFERROR(SMALL($I$4:$I$385,ROWS($I$4:I123)),"")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IFERROR(SMALL($I$4:$I$385,ROWS($I$4:I124)),"")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IFERROR(SMALL($I$4:$I$385,ROWS($I$4:I125)),"")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IFERROR(SMALL($I$4:$I$385,ROWS($I$4:I126)),"")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IFERROR(SMALL($I$4:$I$385,ROWS($I$4:I127)),"")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IFERROR(SMALL($I$4:$I$385,ROWS($I$4:I128)),"")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IFERROR(SMALL($I$4:$I$385,ROWS($I$4:I129)),"")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IFERROR(SMALL($I$4:$I$385,ROWS($I$4:I130)),"")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IFERROR(SMALL($I$4:$I$385,ROWS($I$4:I131)),"")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IFERROR(SMALL($I$4:$I$385,ROWS($I$4:I132)),"")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IFERROR(SMALL($I$4:$I$385,ROWS($I$4:I133)),"")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IFERROR(SMALL($I$4:$I$385,ROWS($I$4:I134)),"")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IFERROR(SMALL($I$4:$I$385,ROWS($I$4:I135)),"")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IFERROR(SMALL($I$4:$I$385,ROWS($I$4:I136)),"")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IFERROR(SMALL($I$4:$I$385,ROWS($I$4:I137)),"")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IFERROR(SMALL($I$4:$I$385,ROWS($I$4:I138)),"")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IFERROR(SMALL($I$4:$I$385,ROWS($I$4:I139)),"")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IFERROR(SMALL($I$4:$I$385,ROWS($I$4:I140)),"")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IFERROR(SMALL($I$4:$I$385,ROWS($I$4:I141)),"")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IFERROR(SMALL($I$4:$I$385,ROWS($I$4:I142)),"")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IFERROR(SMALL($I$4:$I$385,ROWS($I$4:I143)),"")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IFERROR(SMALL($I$4:$I$385,ROWS($I$4:I144)),"")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IFERROR(SMALL($I$4:$I$385,ROWS($I$4:I145)),"")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IFERROR(SMALL($I$4:$I$385,ROWS($I$4:I146)),"")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IFERROR(SMALL($I$4:$I$385,ROWS($I$4:I147)),"")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IFERROR(SMALL($I$4:$I$385,ROWS($I$4:I148)),"")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IFERROR(SMALL($I$4:$I$385,ROWS($I$4:I149)),"")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IFERROR(SMALL($I$4:$I$385,ROWS($I$4:I150)),"")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IFERROR(SMALL($I$4:$I$385,ROWS($I$4:I151)),"")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IFERROR(SMALL($I$4:$I$385,ROWS($I$4:I152)),"")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IFERROR(SMALL($I$4:$I$385,ROWS($I$4:I153)),"")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IFERROR(SMALL($I$4:$I$385,ROWS($I$4:I154)),"")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IFERROR(SMALL($I$4:$I$385,ROWS($I$4:I155)),"")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IFERROR(SMALL($I$4:$I$385,ROWS($I$4:I156)),"")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IFERROR(SMALL($I$4:$I$385,ROWS($I$4:I157)),"")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IFERROR(SMALL($I$4:$I$385,ROWS($I$4:I158)),"")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IFERROR(SMALL($I$4:$I$385,ROWS($I$4:I159)),"")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IFERROR(SMALL($I$4:$I$385,ROWS($I$4:I160)),"")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IFERROR(SMALL($I$4:$I$385,ROWS($I$4:I161)),"")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IFERROR(SMALL($I$4:$I$385,ROWS($I$4:I162)),"")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IFERROR(SMALL($I$4:$I$385,ROWS($I$4:I163)),"")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IFERROR(SMALL($I$4:$I$385,ROWS($I$4:I164)),"")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IFERROR(SMALL($I$4:$I$385,ROWS($I$4:I165)),"")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IFERROR(SMALL($I$4:$I$385,ROWS($I$4:I166)),"")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IFERROR(SMALL($I$4:$I$385,ROWS($I$4:I167)),"")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IFERROR(SMALL($I$4:$I$385,ROWS($I$4:I168)),"")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IFERROR(SMALL($I$4:$I$385,ROWS($I$4:I169)),"")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IFERROR(SMALL($I$4:$I$385,ROWS($I$4:I170)),"")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IFERROR(SMALL($I$4:$I$385,ROWS($I$4:I171)),"")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IFERROR(SMALL($I$4:$I$385,ROWS($I$4:I172)),"")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IFERROR(SMALL($I$4:$I$385,ROWS($I$4:I173)),"")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IFERROR(SMALL($I$4:$I$385,ROWS($I$4:I174)),"")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IFERROR(SMALL($I$4:$I$385,ROWS($I$4:I175)),"")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f>IF('School Level Expenditures'!$B$2=A176,'School Tables'!H176,"")</f>
        <v>173</v>
      </c>
      <c r="J176" s="281" t="str">
        <f>IFERROR(SMALL($I$4:$I$385,ROWS($I$4:I176)),"")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IFERROR(SMALL($I$4:$I$385,ROWS($I$4:I177)),"")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IFERROR(SMALL($I$4:$I$385,ROWS($I$4:I178)),"")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IFERROR(SMALL($I$4:$I$385,ROWS($I$4:I179)),"")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IFERROR(SMALL($I$4:$I$385,ROWS($I$4:I180)),"")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IFERROR(SMALL($I$4:$I$385,ROWS($I$4:I181)),"")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IFERROR(SMALL($I$4:$I$385,ROWS($I$4:I182)),"")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IFERROR(SMALL($I$4:$I$385,ROWS($I$4:I183)),"")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IFERROR(SMALL($I$4:$I$385,ROWS($I$4:I184)),"")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IFERROR(SMALL($I$4:$I$385,ROWS($I$4:I185)),"")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IFERROR(SMALL($I$4:$I$385,ROWS($I$4:I186)),"")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IFERROR(SMALL($I$4:$I$385,ROWS($I$4:I187)),"")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IFERROR(SMALL($I$4:$I$385,ROWS($I$4:I188)),"")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IFERROR(SMALL($I$4:$I$385,ROWS($I$4:I189)),"")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IFERROR(SMALL($I$4:$I$385,ROWS($I$4:I190)),"")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IFERROR(SMALL($I$4:$I$385,ROWS($I$4:I191)),"")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IFERROR(SMALL($I$4:$I$385,ROWS($I$4:I192)),"")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IFERROR(SMALL($I$4:$I$385,ROWS($I$4:I193)),"")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IFERROR(SMALL($I$4:$I$385,ROWS($I$4:I194)),"")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IFERROR(SMALL($I$4:$I$385,ROWS($I$4:I195)),"")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IFERROR(SMALL($I$4:$I$385,ROWS($I$4:I196)),"")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IFERROR(SMALL($I$4:$I$385,ROWS($I$4:I197)),"")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IFERROR(SMALL($I$4:$I$385,ROWS($I$4:I198)),"")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IFERROR(SMALL($I$4:$I$385,ROWS($I$4:I199)),"")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IFERROR(SMALL($I$4:$I$385,ROWS($I$4:I200)),"")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IFERROR(SMALL($I$4:$I$385,ROWS($I$4:I201)),"")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IFERROR(SMALL($I$4:$I$385,ROWS($I$4:I202)),"")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IFERROR(SMALL($I$4:$I$385,ROWS($I$4:I203)),"")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IFERROR(SMALL($I$4:$I$385,ROWS($I$4:I204)),"")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IFERROR(SMALL($I$4:$I$385,ROWS($I$4:I205)),"")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IFERROR(SMALL($I$4:$I$385,ROWS($I$4:I206)),"")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IFERROR(SMALL($I$4:$I$385,ROWS($I$4:I207)),"")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IFERROR(SMALL($I$4:$I$385,ROWS($I$4:I208)),"")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IFERROR(SMALL($I$4:$I$385,ROWS($I$4:I209)),"")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IFERROR(SMALL($I$4:$I$385,ROWS($I$4:I210)),"")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IFERROR(SMALL($I$4:$I$385,ROWS($I$4:I211)),"")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IFERROR(SMALL($I$4:$I$385,ROWS($I$4:I212)),"")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IFERROR(SMALL($I$4:$I$385,ROWS($I$4:I213)),"")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IFERROR(SMALL($I$4:$I$385,ROWS($I$4:I214)),"")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IFERROR(SMALL($I$4:$I$385,ROWS($I$4:I215)),"")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IFERROR(SMALL($I$4:$I$385,ROWS($I$4:I216)),"")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IFERROR(SMALL($I$4:$I$385,ROWS($I$4:I217)),"")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IFERROR(SMALL($I$4:$I$385,ROWS($I$4:I218)),"")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IFERROR(SMALL($I$4:$I$385,ROWS($I$4:I219)),"")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IFERROR(SMALL($I$4:$I$385,ROWS($I$4:I220)),"")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IFERROR(SMALL($I$4:$I$385,ROWS($I$4:I221)),"")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IFERROR(SMALL($I$4:$I$385,ROWS($I$4:I222)),"")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IFERROR(SMALL($I$4:$I$385,ROWS($I$4:I223)),"")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IFERROR(SMALL($I$4:$I$385,ROWS($I$4:I224)),"")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IFERROR(SMALL($I$4:$I$385,ROWS($I$4:I225)),"")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IFERROR(SMALL($I$4:$I$385,ROWS($I$4:I226)),"")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IFERROR(SMALL($I$4:$I$385,ROWS($I$4:I227)),"")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IFERROR(SMALL($I$4:$I$385,ROWS($I$4:I228)),"")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IFERROR(SMALL($I$4:$I$385,ROWS($I$4:I229)),"")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IFERROR(SMALL($I$4:$I$385,ROWS($I$4:I230)),"")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IFERROR(SMALL($I$4:$I$385,ROWS($I$4:I231)),"")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IFERROR(SMALL($I$4:$I$385,ROWS($I$4:I232)),"")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IFERROR(SMALL($I$4:$I$385,ROWS($I$4:I233)),"")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IFERROR(SMALL($I$4:$I$385,ROWS($I$4:I234)),"")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IFERROR(SMALL($I$4:$I$385,ROWS($I$4:I235)),"")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IFERROR(SMALL($I$4:$I$385,ROWS($I$4:I236)),"")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IFERROR(SMALL($I$4:$I$385,ROWS($I$4:I237)),"")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IFERROR(SMALL($I$4:$I$385,ROWS($I$4:I238)),"")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IFERROR(SMALL($I$4:$I$385,ROWS($I$4:I239)),"")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IFERROR(SMALL($I$4:$I$385,ROWS($I$4:I240)),"")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IFERROR(SMALL($I$4:$I$385,ROWS($I$4:I241)),"")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IFERROR(SMALL($I$4:$I$385,ROWS($I$4:I242)),"")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IFERROR(SMALL($I$4:$I$385,ROWS($I$4:I243)),"")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IFERROR(SMALL($I$4:$I$385,ROWS($I$4:I244)),"")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IFERROR(SMALL($I$4:$I$385,ROWS($I$4:I245)),"")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IFERROR(SMALL($I$4:$I$385,ROWS($I$4:I246)),"")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IFERROR(SMALL($I$4:$I$385,ROWS($I$4:I247)),"")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IFERROR(SMALL($I$4:$I$385,ROWS($I$4:I248)),"")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IFERROR(SMALL($I$4:$I$385,ROWS($I$4:I249)),"")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IFERROR(SMALL($I$4:$I$385,ROWS($I$4:I250)),"")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IFERROR(SMALL($I$4:$I$385,ROWS($I$4:I251)),"")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IFERROR(SMALL($I$4:$I$385,ROWS($I$4:I252)),"")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IFERROR(SMALL($I$4:$I$385,ROWS($I$4:I253)),"")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IFERROR(SMALL($I$4:$I$385,ROWS($I$4:I254)),"")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IFERROR(SMALL($I$4:$I$385,ROWS($I$4:I255)),"")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IFERROR(SMALL($I$4:$I$385,ROWS($I$4:I256)),"")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IFERROR(SMALL($I$4:$I$385,ROWS($I$4:I257)),"")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IFERROR(SMALL($I$4:$I$385,ROWS($I$4:I258)),"")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IFERROR(SMALL($I$4:$I$385,ROWS($I$4:I259)),"")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IFERROR(SMALL($I$4:$I$385,ROWS($I$4:I260)),"")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IFERROR(SMALL($I$4:$I$385,ROWS($I$4:I261)),"")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IFERROR(SMALL($I$4:$I$385,ROWS($I$4:I262)),"")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IFERROR(SMALL($I$4:$I$385,ROWS($I$4:I263)),"")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IFERROR(SMALL($I$4:$I$385,ROWS($I$4:I264)),"")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IFERROR(SMALL($I$4:$I$385,ROWS($I$4:I265)),"")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IFERROR(SMALL($I$4:$I$385,ROWS($I$4:I266)),"")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IFERROR(SMALL($I$4:$I$385,ROWS($I$4:I267)),"")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IFERROR(SMALL($I$4:$I$385,ROWS($I$4:I268)),"")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IFERROR(SMALL($I$4:$I$385,ROWS($I$4:I269)),"")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IFERROR(SMALL($I$4:$I$385,ROWS($I$4:I270)),"")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IFERROR(SMALL($I$4:$I$385,ROWS($I$4:I271)),"")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IFERROR(SMALL($I$4:$I$385,ROWS($I$4:I272)),"")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IFERROR(SMALL($I$4:$I$385,ROWS($I$4:I273)),"")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IFERROR(SMALL($I$4:$I$385,ROWS($I$4:I274)),"")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IFERROR(SMALL($I$4:$I$385,ROWS($I$4:I275)),"")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IFERROR(SMALL($I$4:$I$385,ROWS($I$4:I276)),"")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IFERROR(SMALL($I$4:$I$385,ROWS($I$4:I277)),"")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IFERROR(SMALL($I$4:$I$385,ROWS($I$4:I278)),"")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IFERROR(SMALL($I$4:$I$385,ROWS($I$4:I279)),"")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IFERROR(SMALL($I$4:$I$385,ROWS($I$4:I280)),"")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IFERROR(SMALL($I$4:$I$385,ROWS($I$4:I281)),"")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IFERROR(SMALL($I$4:$I$385,ROWS($I$4:I282)),"")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IFERROR(SMALL($I$4:$I$385,ROWS($I$4:I283)),"")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IFERROR(SMALL($I$4:$I$385,ROWS($I$4:I284)),"")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IFERROR(SMALL($I$4:$I$385,ROWS($I$4:I285)),"")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IFERROR(SMALL($I$4:$I$385,ROWS($I$4:I286)),"")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IFERROR(SMALL($I$4:$I$385,ROWS($I$4:I287)),"")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IFERROR(SMALL($I$4:$I$385,ROWS($I$4:I288)),"")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IFERROR(SMALL($I$4:$I$385,ROWS($I$4:I289)),"")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IFERROR(SMALL($I$4:$I$385,ROWS($I$4:I290)),"")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IFERROR(SMALL($I$4:$I$385,ROWS($I$4:I291)),"")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IFERROR(SMALL($I$4:$I$385,ROWS($I$4:I292)),"")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IFERROR(SMALL($I$4:$I$385,ROWS($I$4:I293)),"")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IFERROR(SMALL($I$4:$I$385,ROWS($I$4:I294)),"")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IFERROR(SMALL($I$4:$I$385,ROWS($I$4:I295)),"")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IFERROR(SMALL($I$4:$I$385,ROWS($I$4:I296)),"")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IFERROR(SMALL($I$4:$I$385,ROWS($I$4:I297)),"")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IFERROR(SMALL($I$4:$I$385,ROWS($I$4:I298)),"")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IFERROR(SMALL($I$4:$I$385,ROWS($I$4:I299)),"")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IFERROR(SMALL($I$4:$I$385,ROWS($I$4:I300)),"")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IFERROR(SMALL($I$4:$I$385,ROWS($I$4:I301)),"")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IFERROR(SMALL($I$4:$I$385,ROWS($I$4:I302)),"")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IFERROR(SMALL($I$4:$I$385,ROWS($I$4:I303)),"")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IFERROR(SMALL($I$4:$I$385,ROWS($I$4:I304)),"")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IFERROR(SMALL($I$4:$I$385,ROWS($I$4:I305)),"")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IFERROR(SMALL($I$4:$I$385,ROWS($I$4:I306)),"")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IFERROR(SMALL($I$4:$I$385,ROWS($I$4:I307)),"")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IFERROR(SMALL($I$4:$I$385,ROWS($I$4:I308)),"")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IFERROR(SMALL($I$4:$I$385,ROWS($I$4:I309)),"")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IFERROR(SMALL($I$4:$I$385,ROWS($I$4:I310)),"")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IFERROR(SMALL($I$4:$I$385,ROWS($I$4:I311)),"")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IFERROR(SMALL($I$4:$I$385,ROWS($I$4:I312)),"")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IFERROR(SMALL($I$4:$I$385,ROWS($I$4:I313)),"")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IFERROR(SMALL($I$4:$I$385,ROWS($I$4:I314)),"")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IFERROR(SMALL($I$4:$I$385,ROWS($I$4:I315)),"")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IFERROR(SMALL($I$4:$I$385,ROWS($I$4:I316)),"")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IFERROR(SMALL($I$4:$I$385,ROWS($I$4:I317)),"")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IFERROR(SMALL($I$4:$I$385,ROWS($I$4:I318)),"")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IFERROR(SMALL($I$4:$I$385,ROWS($I$4:I319)),"")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IFERROR(SMALL($I$4:$I$385,ROWS($I$4:I320)),"")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IFERROR(SMALL($I$4:$I$385,ROWS($I$4:I321)),"")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IFERROR(SMALL($I$4:$I$385,ROWS($I$4:I322)),"")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IFERROR(SMALL($I$4:$I$385,ROWS($I$4:I323)),"")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IFERROR(SMALL($I$4:$I$385,ROWS($I$4:I324)),"")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IFERROR(SMALL($I$4:$I$385,ROWS($I$4:I325)),"")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IFERROR(SMALL($I$4:$I$385,ROWS($I$4:I326)),"")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IFERROR(SMALL($I$4:$I$385,ROWS($I$4:I327)),"")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IFERROR(SMALL($I$4:$I$385,ROWS($I$4:I328)),"")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IFERROR(SMALL($I$4:$I$385,ROWS($I$4:I329)),"")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IFERROR(SMALL($I$4:$I$385,ROWS($I$4:I330)),"")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IFERROR(SMALL($I$4:$I$385,ROWS($I$4:I331)),"")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IFERROR(SMALL($I$4:$I$385,ROWS($I$4:I332)),"")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IFERROR(SMALL($I$4:$I$385,ROWS($I$4:I333)),"")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IFERROR(SMALL($I$4:$I$385,ROWS($I$4:I334)),"")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1-0000-0900-000000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2024-10-24T14:15:40Z</cp:lastPrinted>
  <dcterms:created xsi:type="dcterms:W3CDTF">1997-12-04T19:04:30Z</dcterms:created>
  <dcterms:modified xsi:type="dcterms:W3CDTF">2024-12-20T19:36:05Z</dcterms:modified>
</cp:coreProperties>
</file>