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1F6B663F-718E-4DC9-B2E1-8CD649B06DF9}"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91" i="1" l="1"/>
  <c r="H466" i="1"/>
  <c r="J321" i="1"/>
  <c r="H320" i="1"/>
  <c r="I318" i="1"/>
  <c r="G318" i="1"/>
  <c r="I315" i="1"/>
  <c r="J306" i="1"/>
  <c r="I302" i="1"/>
  <c r="H302" i="1"/>
  <c r="I296" i="1"/>
  <c r="I283" i="1"/>
  <c r="H283" i="1"/>
  <c r="I282" i="1"/>
  <c r="G280" i="1"/>
  <c r="I277" i="1"/>
  <c r="G277" i="1"/>
  <c r="F277"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F61" i="15" s="1"/>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15" i="15" l="1"/>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F409" i="1" l="1"/>
  <c r="H644" i="1" s="1"/>
  <c r="E125" i="2"/>
  <c r="J140" i="1"/>
  <c r="H79" i="2"/>
  <c r="C85" i="2"/>
  <c r="C125" i="2"/>
  <c r="H143" i="2"/>
  <c r="H72" i="2"/>
  <c r="H76" i="2"/>
  <c r="H101" i="2"/>
  <c r="H99" i="2"/>
  <c r="G409" i="1"/>
  <c r="H646" i="1" s="1"/>
  <c r="H140" i="1"/>
  <c r="F85" i="2"/>
  <c r="H58" i="2"/>
  <c r="H25" i="2"/>
  <c r="G646" i="1"/>
  <c r="I409" i="1"/>
  <c r="J112" i="1"/>
  <c r="J194" i="1" s="1"/>
  <c r="G647" i="1" s="1"/>
  <c r="E112" i="2"/>
  <c r="H137" i="2"/>
  <c r="H97" i="2"/>
  <c r="H93" i="2"/>
  <c r="H87" i="2"/>
  <c r="H26" i="2"/>
  <c r="H22" i="2"/>
  <c r="G62" i="2"/>
  <c r="G63" i="2" s="1"/>
  <c r="H96" i="2"/>
  <c r="H35" i="2"/>
  <c r="H13" i="2"/>
  <c r="H9" i="2"/>
  <c r="H38" i="2"/>
  <c r="H43" i="2"/>
  <c r="H30" i="2"/>
  <c r="H102" i="2"/>
  <c r="H100" i="2"/>
  <c r="H98" i="2"/>
  <c r="H73" i="2"/>
  <c r="H15" i="2"/>
  <c r="D144" i="2"/>
  <c r="H69" i="2"/>
  <c r="H17" i="2"/>
  <c r="H80" i="2"/>
  <c r="D18" i="13"/>
  <c r="C18" i="13" s="1"/>
  <c r="H89" i="2"/>
  <c r="H132" i="2"/>
  <c r="H36" i="2"/>
  <c r="H44" i="2"/>
  <c r="H94" i="2"/>
  <c r="H27" i="2"/>
  <c r="H24" i="2"/>
  <c r="H113" i="2"/>
  <c r="J652" i="1"/>
  <c r="G477" i="1"/>
  <c r="H624" i="1" s="1"/>
  <c r="J624" i="1" s="1"/>
  <c r="H477" i="1"/>
  <c r="H625" i="1" s="1"/>
  <c r="H47" i="2"/>
  <c r="D29" i="13"/>
  <c r="C29" i="13" s="1"/>
  <c r="G662" i="1"/>
  <c r="E120" i="2"/>
  <c r="K36" i="14"/>
  <c r="K37" i="14" s="1"/>
  <c r="G663" i="1"/>
  <c r="C13" i="10"/>
  <c r="H125" i="2"/>
  <c r="K2" i="14"/>
  <c r="K3" i="14" s="1"/>
  <c r="C119" i="2"/>
  <c r="C112" i="2"/>
  <c r="C12" i="10"/>
  <c r="E13" i="13"/>
  <c r="C13" i="13" s="1"/>
  <c r="D15" i="13"/>
  <c r="C15" i="13" s="1"/>
  <c r="C120" i="2"/>
  <c r="H77" i="2"/>
  <c r="H61" i="2"/>
  <c r="H59" i="2"/>
  <c r="H48" i="2"/>
  <c r="H34" i="2"/>
  <c r="H28" i="2"/>
  <c r="H29" i="2"/>
  <c r="H23" i="2"/>
  <c r="H8" i="2"/>
  <c r="H11"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B33" i="16" l="1"/>
  <c r="H120" i="2"/>
  <c r="E144" i="2"/>
  <c r="H112" i="2"/>
  <c r="E51" i="2"/>
  <c r="L572" i="1"/>
  <c r="I663" i="1"/>
  <c r="H42" i="2"/>
  <c r="H16" i="2"/>
  <c r="H114" i="2"/>
  <c r="H21" i="2"/>
  <c r="H134" i="2"/>
  <c r="H85" i="2"/>
  <c r="H78" i="2"/>
  <c r="D128" i="2"/>
  <c r="D145" i="2" s="1"/>
  <c r="H127" i="2"/>
  <c r="I662" i="1"/>
  <c r="H122" i="2"/>
  <c r="H123" i="2"/>
  <c r="H119" i="2"/>
  <c r="F194" i="1"/>
  <c r="G628" i="1" s="1"/>
  <c r="J628" i="1" s="1"/>
  <c r="H103" i="2"/>
  <c r="H91" i="2"/>
  <c r="C81" i="2"/>
  <c r="H81" i="2" s="1"/>
  <c r="H62" i="2"/>
  <c r="H57" i="2"/>
  <c r="H50" i="2"/>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<sst xmlns="http://schemas.openxmlformats.org/spreadsheetml/2006/main" count="6646" uniqueCount="1848">
  <si>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</si>
  <si>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</si>
  <si>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</si>
  <si>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</si>
  <si>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</si>
  <si>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</si>
  <si>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</si>
  <si>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</si>
  <si>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</si>
  <si>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</si>
  <si>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</si>
  <si>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</si>
  <si>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</si>
  <si>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</si>
  <si>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</si>
  <si>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</si>
  <si>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</si>
  <si>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</si>
  <si>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</si>
  <si>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</si>
  <si>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</si>
  <si>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</si>
  <si>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</si>
  <si>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</si>
  <si>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</si>
  <si>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</si>
  <si>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</si>
  <si>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</si>
  <si>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</si>
  <si>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</si>
  <si>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</si>
  <si>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</si>
  <si>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</si>
  <si>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</si>
  <si>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</si>
  <si>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</si>
  <si>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</si>
  <si>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</si>
  <si>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</si>
  <si>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</si>
  <si>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</si>
  <si>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</si>
  <si>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</si>
  <si>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</si>
  <si>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</si>
  <si>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</si>
  <si>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</si>
  <si>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</si>
  <si>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</si>
  <si>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</si>
  <si>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</si>
  <si>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</si>
  <si>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</si>
  <si>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</si>
  <si>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</si>
  <si>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</si>
  <si>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</si>
  <si>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</si>
  <si>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</si>
  <si>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</si>
  <si>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</si>
  <si>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</si>
  <si>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</si>
  <si>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</si>
  <si>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</si>
  <si>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</si>
  <si>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</si>
  <si>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</si>
  <si>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</si>
  <si>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</si>
  <si>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</si>
  <si>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</si>
  <si>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</si>
  <si>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</si>
  <si>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</si>
  <si>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</si>
  <si>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</si>
  <si>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</si>
  <si>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</si>
  <si>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</si>
  <si>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</si>
  <si>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</si>
  <si>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</si>
  <si>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</si>
  <si>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</si>
  <si>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</si>
  <si>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</si>
  <si>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</si>
  <si>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</si>
  <si>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</si>
  <si>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</si>
  <si>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</si>
  <si>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</si>
  <si>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</si>
  <si>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</si>
  <si>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</si>
  <si>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</si>
  <si>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</si>
  <si>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</si>
  <si>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</si>
  <si>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</si>
  <si>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</si>
  <si>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</si>
  <si>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</si>
  <si>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</si>
  <si>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</si>
  <si>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</si>
  <si>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</si>
  <si>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</si>
  <si>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</si>
  <si>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</si>
  <si>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</si>
  <si>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</si>
  <si>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</si>
  <si>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</si>
  <si>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</si>
  <si>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</si>
  <si>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</si>
  <si>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</si>
  <si>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</si>
  <si>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</si>
  <si>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</si>
  <si>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</si>
  <si>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</si>
  <si>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</si>
  <si>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</si>
  <si>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</si>
  <si>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</si>
  <si>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</si>
  <si>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</si>
  <si>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</si>
  <si>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</si>
  <si>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</si>
  <si>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</si>
  <si>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</si>
  <si>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</si>
  <si>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</si>
  <si>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</si>
  <si>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</si>
  <si>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</si>
  <si>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</si>
  <si>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</si>
  <si>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</si>
  <si>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</si>
  <si>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</si>
  <si>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</si>
  <si>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</si>
  <si>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</si>
  <si>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</si>
  <si>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</si>
  <si>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</si>
  <si>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</si>
  <si>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</si>
  <si>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</si>
  <si>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</si>
  <si>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</si>
  <si>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</si>
  <si>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</si>
  <si>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</si>
  <si>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</si>
  <si>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</si>
  <si>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</si>
  <si>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</si>
  <si>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</si>
  <si>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</si>
  <si>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</si>
  <si>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</si>
  <si>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</si>
  <si>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</si>
  <si>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</si>
  <si>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</si>
  <si>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</si>
  <si>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</si>
  <si>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</si>
  <si>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</si>
  <si>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</si>
  <si>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</si>
  <si>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</si>
  <si>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</si>
  <si>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</si>
  <si>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</si>
  <si>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</si>
  <si>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</si>
  <si>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</si>
  <si>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</si>
  <si>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</si>
  <si>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</si>
  <si>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</si>
  <si>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</si>
  <si>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</si>
  <si>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</si>
  <si>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</si>
  <si>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</si>
  <si>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</si>
  <si>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</si>
  <si>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</si>
  <si>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</si>
  <si>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</si>
  <si>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</si>
  <si>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</si>
  <si>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</si>
  <si>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</si>
  <si>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</si>
  <si>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</si>
  <si>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</si>
  <si>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</si>
  <si>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</si>
  <si>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</si>
  <si>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</si>
  <si>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</si>
  <si>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</si>
  <si>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</si>
  <si>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</si>
  <si>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</si>
  <si>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</si>
  <si>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</si>
  <si>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</si>
  <si>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</si>
  <si>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</si>
  <si>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</si>
  <si>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</si>
  <si>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</si>
  <si>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</si>
  <si>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</si>
  <si>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</si>
  <si>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</si>
  <si>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</si>
  <si>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</si>
  <si>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</si>
  <si>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</si>
  <si>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</si>
  <si>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</si>
  <si>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</si>
  <si>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</si>
  <si>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</si>
  <si>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</si>
  <si>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</si>
  <si>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</si>
  <si>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</si>
  <si>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</si>
  <si>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</si>
  <si>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</si>
  <si>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</si>
  <si>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</si>
  <si>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</si>
  <si>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</si>
  <si>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</si>
  <si>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</si>
  <si>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</si>
  <si>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</si>
  <si>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</si>
  <si>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</si>
  <si>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</si>
  <si>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</si>
  <si>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</si>
  <si>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</si>
  <si>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</si>
  <si>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</si>
  <si>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</si>
  <si>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</si>
  <si>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</si>
  <si>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</si>
  <si>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</si>
  <si>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</si>
  <si>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</si>
  <si>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</si>
  <si>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</si>
  <si>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</si>
  <si>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</si>
  <si>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</si>
  <si>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</si>
  <si>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</si>
  <si>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</si>
  <si>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</si>
  <si>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</si>
  <si>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</si>
  <si>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</si>
  <si>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</si>
  <si>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</si>
  <si>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</si>
  <si>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</si>
  <si>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</si>
  <si>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</si>
  <si>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</si>
  <si>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</si>
  <si>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</si>
  <si>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</si>
  <si>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</si>
  <si>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</si>
  <si>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</si>
  <si>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</si>
  <si>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</si>
  <si>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</si>
  <si>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</si>
  <si>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</si>
  <si>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</si>
  <si>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</si>
  <si>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</si>
  <si>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</si>
  <si>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</si>
  <si>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</si>
  <si>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</si>
  <si>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</si>
  <si>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</si>
  <si>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</si>
  <si>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</si>
  <si>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</si>
  <si>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</si>
  <si>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</si>
  <si>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</si>
  <si>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</si>
  <si>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</si>
  <si>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</si>
  <si>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</si>
  <si>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</si>
  <si>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</si>
  <si>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</si>
  <si>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</si>
  <si>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</si>
  <si>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</si>
  <si>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</si>
  <si>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</si>
  <si>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</si>
  <si>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</si>
  <si>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</si>
  <si>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</si>
  <si>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</si>
  <si>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</si>
  <si>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</si>
  <si>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</si>
  <si>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</si>
  <si>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</si>
  <si>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</si>
  <si>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</si>
  <si>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</si>
  <si>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</si>
  <si>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</si>
  <si>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</si>
  <si>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</si>
  <si>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</si>
  <si>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</si>
  <si>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</si>
  <si>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</si>
  <si>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</si>
  <si>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</si>
  <si>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</si>
  <si>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</si>
  <si>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</si>
  <si>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</si>
  <si>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</si>
  <si>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</si>
  <si>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</si>
  <si>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</si>
  <si>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</si>
  <si>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</si>
  <si>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</si>
  <si>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</si>
  <si>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</si>
  <si>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</si>
  <si>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</si>
  <si>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</si>
  <si>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</si>
  <si>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</si>
  <si>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</si>
  <si>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</si>
  <si>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</si>
  <si>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</si>
  <si>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</si>
  <si>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</si>
  <si>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</si>
  <si>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</si>
  <si>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</si>
  <si>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</si>
  <si>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</si>
  <si>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</si>
  <si>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</si>
  <si>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</si>
  <si>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</si>
  <si>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</si>
  <si>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</si>
  <si>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</si>
  <si>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</si>
  <si>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</si>
  <si>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</si>
  <si>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</si>
  <si>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</si>
  <si>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</si>
  <si>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</si>
  <si>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</si>
  <si>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</si>
  <si>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</si>
  <si>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</si>
  <si>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</si>
  <si>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</si>
  <si>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</si>
  <si>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</si>
  <si>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</si>
  <si>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</si>
  <si>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</si>
  <si>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</si>
  <si>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</si>
  <si>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</si>
  <si>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</si>
  <si>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</si>
  <si>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</si>
  <si>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</si>
  <si>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</si>
  <si>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</si>
  <si>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</si>
  <si>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</si>
  <si>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</si>
  <si>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</si>
  <si>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</si>
  <si>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</si>
  <si>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</si>
  <si>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</si>
  <si>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</si>
  <si>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</si>
  <si>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</si>
  <si>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</si>
  <si>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</si>
  <si>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</si>
  <si>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</si>
  <si>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</si>
  <si>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</si>
  <si>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</si>
  <si>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</si>
  <si>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</si>
  <si>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</si>
  <si>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</si>
  <si>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</si>
  <si>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</si>
  <si>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</si>
  <si>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</si>
  <si>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</si>
  <si>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</si>
  <si>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</si>
  <si>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</si>
  <si>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</si>
  <si>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</si>
  <si>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</si>
  <si>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</si>
  <si>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</si>
  <si>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</si>
  <si>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</si>
  <si>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</si>
  <si>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</si>
  <si>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</si>
  <si>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</si>
  <si>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</si>
  <si>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</si>
  <si>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</si>
  <si>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</si>
  <si>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</si>
  <si>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</si>
  <si>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</si>
  <si>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</si>
  <si>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</si>
  <si>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</si>
  <si>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</si>
  <si>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</si>
  <si>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</si>
  <si>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</si>
  <si>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</si>
  <si>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</si>
  <si>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</si>
  <si>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</si>
  <si>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</si>
  <si>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</si>
  <si>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</si>
  <si>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</si>
  <si>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</si>
  <si>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</si>
  <si>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</si>
  <si>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</si>
  <si>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</si>
  <si>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</si>
  <si>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</si>
  <si>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</si>
  <si>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</si>
  <si>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</si>
  <si>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</si>
  <si>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</si>
  <si>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</si>
  <si>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</si>
  <si>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</si>
  <si>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</si>
  <si>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</si>
  <si>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</si>
  <si>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</si>
  <si>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</si>
  <si>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</si>
  <si>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</si>
  <si>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</si>
  <si>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</si>
  <si>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</si>
  <si>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</si>
  <si>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</si>
  <si>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</si>
  <si>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</si>
  <si>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</si>
  <si>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</si>
  <si>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</si>
  <si>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</si>
  <si>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</si>
  <si>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</si>
  <si>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</si>
  <si>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</si>
  <si>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</si>
  <si>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</si>
  <si>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</si>
  <si>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</si>
  <si>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</si>
  <si>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</si>
  <si>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</si>
  <si>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</si>
  <si>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</si>
  <si>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</si>
  <si>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</si>
  <si>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</si>
  <si>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</si>
  <si>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</si>
  <si>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</si>
  <si>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</si>
  <si>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</si>
  <si>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</si>
  <si>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</si>
  <si>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</si>
  <si>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</si>
  <si>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</si>
  <si>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</si>
  <si>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</si>
  <si>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</si>
  <si>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</si>
  <si>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</si>
  <si>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</si>
  <si>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</si>
  <si>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</si>
  <si>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</si>
  <si>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</si>
  <si>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</si>
  <si>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</si>
  <si>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</si>
  <si>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</si>
  <si>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</si>
  <si>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</si>
  <si>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</si>
  <si>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</si>
  <si>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</si>
  <si>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</si>
  <si>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</si>
  <si>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</si>
  <si>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</si>
  <si>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</si>
  <si>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</si>
  <si>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</si>
  <si>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</si>
  <si>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</si>
  <si>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</si>
  <si>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</si>
  <si>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</si>
  <si>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</si>
  <si>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</si>
  <si>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</si>
  <si>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</si>
  <si>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</si>
  <si>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</si>
  <si>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</si>
  <si>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</si>
  <si>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</si>
  <si>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</si>
  <si>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</si>
  <si>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</si>
  <si>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</si>
  <si>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</si>
  <si>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</si>
  <si>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</si>
  <si>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</si>
  <si>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</si>
  <si>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</si>
  <si>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</si>
  <si>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</si>
  <si>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</si>
  <si>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</si>
  <si>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</si>
  <si>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</si>
  <si>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</si>
  <si>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</si>
  <si>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</si>
  <si>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</si>
  <si>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</si>
  <si>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</si>
  <si>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</si>
  <si>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</si>
  <si>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</si>
  <si>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</si>
  <si>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</si>
  <si>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</si>
  <si>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</si>
  <si>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</si>
  <si>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</si>
  <si>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</si>
  <si>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</si>
  <si>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</si>
  <si>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</si>
  <si>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</si>
  <si>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</si>
  <si>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</si>
  <si>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</si>
  <si>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</si>
  <si>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</si>
  <si>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</si>
  <si>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</si>
  <si>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</si>
  <si>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</si>
  <si>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</si>
  <si>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</si>
  <si>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</si>
  <si>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</si>
  <si>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</si>
  <si>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</si>
  <si>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</si>
  <si>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</si>
  <si>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</si>
  <si>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</si>
  <si>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</si>
  <si>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</si>
  <si>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</si>
  <si>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</si>
  <si>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</si>
  <si>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</si>
  <si>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</si>
  <si>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</si>
  <si>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</si>
  <si>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</si>
  <si>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</si>
  <si>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</si>
  <si>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</si>
  <si>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</si>
  <si>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</si>
  <si>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</si>
  <si>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</si>
  <si>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</si>
  <si>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</si>
  <si>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</si>
  <si>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</si>
  <si>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</si>
  <si>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</si>
  <si>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</si>
  <si>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</si>
  <si>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</si>
  <si>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</si>
  <si>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</si>
  <si>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</si>
  <si>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</si>
  <si>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</si>
  <si>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</si>
  <si>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</si>
  <si>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</si>
  <si>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</si>
  <si>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</si>
  <si>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</si>
  <si>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</si>
  <si>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</si>
  <si>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</si>
  <si>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</si>
  <si>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</si>
  <si>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</si>
  <si>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</si>
  <si>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</si>
  <si>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</si>
  <si>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</si>
  <si>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</si>
  <si>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</si>
  <si>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</si>
  <si>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</si>
  <si>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</si>
  <si>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</si>
  <si>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</si>
  <si>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</si>
  <si>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</si>
  <si>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</si>
  <si>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</si>
  <si>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</si>
  <si>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</si>
  <si>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</si>
  <si>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</si>
  <si>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</si>
  <si>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</si>
  <si>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</si>
  <si>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</si>
  <si>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</si>
  <si>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</si>
  <si>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</si>
  <si>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</si>
  <si>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</si>
  <si>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</si>
  <si>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</si>
  <si>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</si>
  <si>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</si>
  <si>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</si>
  <si>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</si>
  <si>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</si>
  <si>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</si>
  <si>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</si>
  <si>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</si>
  <si>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</si>
  <si>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</si>
  <si>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</si>
  <si>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</si>
  <si>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</si>
  <si>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</si>
  <si>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</si>
  <si>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</si>
  <si>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</si>
  <si>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</si>
  <si>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</si>
  <si>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</si>
  <si>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</si>
  <si>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</si>
  <si>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</si>
  <si>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</si>
  <si>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</si>
  <si>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</si>
  <si>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</si>
  <si>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</si>
  <si>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</si>
  <si>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</si>
  <si>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</si>
  <si>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</si>
  <si>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</si>
  <si>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</si>
  <si>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</si>
  <si>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</si>
  <si>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</si>
  <si>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</si>
  <si>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</si>
  <si>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</si>
  <si>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</si>
  <si>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</si>
  <si>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</si>
  <si>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</si>
  <si>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</si>
  <si>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</si>
  <si>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</si>
  <si>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</si>
  <si>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</si>
  <si>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</si>
  <si>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</si>
  <si>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</si>
  <si>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</si>
  <si>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</si>
  <si>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</si>
  <si>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</si>
  <si>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</si>
  <si>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</si>
  <si>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</si>
  <si>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</si>
  <si>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</si>
  <si>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</si>
  <si>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</si>
  <si>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</si>
  <si>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</si>
  <si>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</si>
  <si>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</si>
  <si>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</si>
  <si>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</si>
  <si>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</si>
  <si>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</si>
  <si>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</si>
  <si>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</si>
  <si>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</si>
  <si>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</si>
  <si>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</si>
  <si>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</si>
  <si>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</si>
  <si>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</si>
  <si>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</si>
  <si>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</si>
  <si>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</si>
  <si>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</si>
  <si>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</si>
  <si>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</si>
  <si>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</si>
  <si>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</si>
  <si>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</si>
  <si>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</si>
  <si>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</si>
  <si>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</si>
  <si>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</si>
  <si>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</si>
  <si>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</si>
  <si>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</si>
  <si>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</si>
  <si>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</si>
  <si>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</si>
  <si>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</si>
  <si>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</si>
  <si>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</si>
  <si>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</si>
  <si>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</si>
  <si>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</si>
  <si>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</si>
  <si>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</si>
  <si>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</si>
  <si>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</si>
  <si>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</si>
  <si>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</si>
  <si>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</si>
  <si>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</si>
  <si>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</si>
  <si>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</si>
  <si>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</si>
  <si>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</si>
  <si>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</si>
  <si>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</si>
  <si>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</si>
  <si>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</si>
  <si>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</si>
  <si>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</si>
  <si>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</si>
  <si>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</si>
  <si>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</si>
  <si>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</si>
  <si>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</si>
  <si>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</si>
  <si>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</si>
  <si>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</si>
  <si>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</si>
  <si>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</si>
  <si>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</si>
  <si>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</si>
  <si>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</si>
  <si>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</si>
  <si>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</si>
  <si>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</si>
  <si>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</si>
  <si>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</si>
  <si>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</si>
  <si>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</si>
  <si>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</si>
  <si>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</si>
  <si>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</si>
  <si>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</si>
  <si>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</si>
  <si>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</si>
  <si>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</si>
  <si>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</si>
  <si>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</si>
  <si>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</si>
  <si>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</si>
  <si>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</si>
  <si>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</si>
  <si>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</si>
  <si>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</si>
  <si>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</si>
  <si>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</si>
  <si>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</si>
  <si>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</si>
  <si>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</si>
  <si>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</si>
  <si>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</si>
  <si>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</si>
  <si>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</si>
  <si>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</si>
  <si>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</si>
  <si>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</si>
  <si>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</si>
  <si>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</si>
  <si>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</si>
  <si>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</si>
  <si>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</si>
  <si>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</si>
  <si>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</si>
  <si>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</si>
  <si>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</si>
  <si>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</si>
  <si>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</si>
  <si>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</si>
  <si>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</si>
  <si>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</si>
  <si>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</si>
  <si>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</si>
  <si>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</si>
  <si>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</si>
  <si>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</si>
  <si>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</si>
  <si>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</si>
  <si>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</si>
  <si>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</si>
  <si>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</si>
  <si>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</si>
  <si>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</si>
  <si>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</si>
  <si>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</si>
  <si>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</si>
  <si>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</si>
  <si>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</si>
  <si>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</si>
  <si>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</si>
  <si>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</si>
  <si>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</si>
  <si>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</si>
  <si>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</si>
  <si>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</si>
  <si>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</si>
  <si>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</si>
  <si>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</si>
  <si>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</si>
  <si>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</si>
  <si>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</si>
  <si>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</si>
  <si>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</si>
  <si>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</si>
  <si>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</si>
  <si>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</si>
  <si>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</si>
  <si>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</si>
  <si>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</si>
  <si>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</si>
  <si>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</si>
  <si>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</si>
  <si>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</si>
  <si>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</si>
  <si>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</si>
  <si>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</si>
  <si>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</si>
  <si>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</si>
  <si>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</si>
  <si>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</si>
  <si>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</si>
  <si>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</si>
  <si>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</si>
  <si>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</si>
  <si>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</si>
  <si>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</si>
  <si>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</si>
  <si>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</si>
  <si>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</si>
  <si>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</si>
  <si>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</si>
  <si>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</si>
  <si>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</si>
  <si>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</si>
  <si>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</si>
  <si>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</si>
  <si>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</si>
  <si>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</si>
  <si>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</si>
  <si>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</si>
  <si>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</si>
  <si>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</si>
  <si>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</si>
  <si>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</si>
  <si>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</si>
  <si>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</si>
  <si>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</si>
  <si>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</si>
  <si>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</si>
  <si>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</si>
  <si>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</si>
  <si>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</si>
  <si>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</si>
  <si>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</si>
  <si>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</si>
  <si>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</si>
  <si>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</si>
  <si>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</si>
  <si>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</si>
  <si>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</si>
  <si>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</si>
  <si>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</si>
  <si>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</si>
  <si>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</si>
  <si>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</si>
  <si>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</si>
  <si>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</si>
  <si>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</si>
  <si>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</si>
  <si>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</si>
  <si>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</si>
  <si>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</si>
  <si>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</si>
  <si>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</si>
  <si>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</si>
  <si>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</si>
  <si>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</si>
  <si>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</si>
  <si>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</si>
  <si>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</si>
  <si>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</si>
  <si>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</si>
  <si>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</si>
  <si>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</si>
  <si>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</si>
  <si>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</si>
  <si>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</si>
  <si>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</si>
  <si>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</si>
  <si>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</si>
  <si>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</si>
  <si>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</si>
  <si>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</si>
  <si>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</si>
  <si>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</si>
  <si>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</si>
  <si>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</si>
  <si>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</si>
  <si>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</si>
  <si>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</si>
  <si>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</si>
  <si>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</si>
  <si>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</si>
  <si>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</si>
  <si>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</si>
  <si>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</si>
  <si>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</si>
  <si>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</si>
  <si>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</si>
  <si>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</si>
  <si>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</si>
  <si>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</si>
  <si>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</si>
  <si>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</si>
  <si>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</si>
  <si>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</si>
  <si>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</si>
  <si>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</si>
  <si>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</si>
  <si>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</si>
  <si>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</si>
  <si>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</si>
  <si>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</si>
  <si>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</si>
  <si>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</si>
  <si>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</si>
  <si>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</si>
  <si>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</si>
  <si>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</si>
  <si>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</si>
  <si>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</si>
  <si>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</si>
  <si>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</si>
  <si>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</si>
  <si>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</si>
  <si>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</si>
  <si>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</si>
  <si>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</si>
  <si>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</si>
  <si>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</si>
  <si>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</si>
  <si>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</si>
  <si>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</si>
  <si>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</si>
  <si>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</si>
  <si>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</si>
  <si>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</si>
  <si>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</si>
  <si>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</si>
  <si>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</si>
  <si>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</si>
  <si>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</si>
  <si>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</si>
  <si>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</si>
  <si>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</si>
  <si>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</si>
  <si>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</si>
  <si>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</si>
  <si>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</si>
  <si>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</si>
  <si>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</si>
  <si>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</si>
  <si>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</si>
  <si>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</si>
  <si>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</si>
  <si>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</si>
  <si>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</si>
  <si>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</si>
  <si>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</si>
  <si>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</si>
  <si>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</si>
  <si>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</si>
  <si>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</si>
  <si>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</si>
  <si>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</si>
  <si>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</si>
  <si>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</si>
  <si>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</si>
  <si>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</si>
  <si>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</si>
  <si>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</si>
  <si>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</si>
  <si>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</si>
  <si>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</si>
  <si>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</si>
  <si>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</si>
  <si>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</si>
  <si>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</si>
  <si>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</si>
  <si>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</si>
  <si>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</si>
  <si>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</si>
  <si>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</si>
  <si>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</si>
  <si>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</si>
  <si>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</si>
  <si>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</si>
  <si>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</si>
  <si>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</si>
  <si>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</si>
  <si>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</si>
  <si>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</si>
  <si>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</si>
  <si>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</si>
  <si>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</si>
  <si>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</si>
  <si>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</si>
  <si>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</si>
  <si>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</si>
  <si>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</si>
  <si>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</si>
  <si>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</si>
  <si>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</si>
  <si>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</si>
  <si>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</si>
  <si>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</si>
  <si>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</si>
  <si>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</si>
  <si>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</si>
  <si>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</si>
  <si>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</si>
  <si>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</si>
  <si>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</si>
  <si>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</si>
  <si>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</si>
  <si>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</si>
  <si>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</si>
  <si>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</si>
  <si>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</si>
  <si>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</si>
  <si>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</si>
  <si>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</si>
  <si>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</si>
  <si>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</si>
  <si>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</si>
  <si>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</si>
  <si>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</si>
  <si>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</si>
  <si>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</si>
  <si>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</si>
  <si>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</si>
  <si>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</si>
  <si>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</si>
  <si>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</si>
  <si>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</si>
  <si>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</si>
  <si>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</si>
  <si>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</si>
  <si>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</si>
  <si>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</si>
  <si>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</si>
  <si>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</si>
  <si>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</si>
  <si>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</si>
  <si>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</si>
  <si>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</si>
  <si>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</si>
  <si>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</si>
  <si>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</si>
  <si>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</si>
  <si>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</si>
  <si>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</si>
  <si>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</si>
  <si>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</si>
  <si>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</si>
  <si>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</si>
  <si>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</si>
  <si>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</si>
  <si>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</si>
  <si>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</si>
  <si>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</si>
  <si>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</si>
  <si>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</si>
  <si>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</si>
  <si>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</si>
  <si>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</si>
  <si>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</si>
  <si>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</si>
  <si>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</si>
  <si>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</si>
  <si>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</si>
  <si>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</si>
  <si>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</si>
  <si>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</si>
  <si>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</si>
  <si>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</si>
  <si>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</si>
  <si>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</si>
  <si>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</si>
  <si>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</si>
  <si>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</si>
  <si>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</si>
  <si>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</si>
  <si>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</si>
  <si>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</si>
  <si>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</si>
  <si>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</si>
  <si>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</si>
  <si>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</si>
  <si>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</si>
  <si>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</si>
  <si>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</si>
  <si>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</si>
  <si>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</si>
  <si>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</si>
  <si>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</si>
  <si>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</si>
  <si>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</si>
  <si>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</si>
  <si>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</si>
  <si>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</si>
  <si>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</si>
  <si>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</si>
  <si>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</si>
  <si>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</si>
  <si>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</si>
  <si>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</si>
  <si>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</si>
  <si>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</si>
  <si>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</si>
  <si>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</si>
  <si>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</si>
  <si>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</si>
  <si>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</si>
  <si>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</si>
  <si>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</si>
  <si>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</si>
  <si>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</si>
  <si>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</si>
  <si>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</si>
  <si>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</si>
  <si>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</si>
  <si>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</si>
  <si>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</si>
  <si>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</si>
  <si>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</si>
  <si>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</si>
  <si>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</si>
  <si>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</si>
  <si>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</si>
  <si>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</si>
  <si>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</si>
  <si>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</si>
  <si>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</si>
  <si>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</si>
  <si>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</si>
  <si>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</si>
  <si>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</si>
  <si>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</si>
  <si>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</si>
  <si>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</si>
  <si>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</si>
  <si>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</si>
  <si>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</si>
  <si>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</si>
  <si>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</si>
  <si>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</si>
  <si>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</si>
  <si>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</si>
  <si>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</si>
  <si>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</si>
  <si>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</si>
  <si>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</si>
  <si>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</si>
  <si>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</si>
  <si>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</si>
  <si>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</si>
  <si>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</si>
  <si>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</si>
  <si>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</si>
  <si>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</si>
  <si>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</si>
  <si>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</si>
  <si>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</si>
  <si>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</si>
  <si>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</si>
  <si>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</si>
  <si>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</si>
  <si>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</si>
  <si>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</si>
  <si>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</si>
  <si>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</si>
  <si>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</si>
  <si>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</si>
  <si>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</si>
  <si>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</si>
  <si>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</si>
  <si>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</si>
  <si>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</si>
  <si>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</si>
  <si>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</si>
  <si>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</si>
  <si>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</si>
  <si>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</si>
  <si>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</si>
  <si>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</si>
  <si>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</si>
  <si>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</si>
  <si>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</si>
  <si>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</si>
  <si>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</si>
  <si>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</si>
  <si>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</si>
  <si>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</si>
  <si>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</si>
  <si>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</si>
  <si>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</si>
  <si>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</si>
  <si>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</si>
  <si>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</si>
  <si>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</si>
  <si>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</si>
  <si>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</si>
  <si>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</si>
  <si>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</si>
  <si>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</si>
  <si>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</si>
  <si>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</si>
  <si>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</si>
  <si>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</si>
  <si>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</si>
  <si>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</si>
  <si>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</si>
  <si>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</si>
  <si>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</si>
  <si>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</si>
  <si>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</si>
  <si>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</si>
  <si>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</si>
  <si>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</si>
  <si>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</si>
  <si>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</si>
  <si>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</si>
  <si>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</si>
  <si>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</si>
  <si>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</si>
  <si>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</si>
  <si>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</si>
  <si>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</si>
  <si>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</si>
  <si>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</si>
  <si>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</si>
  <si>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</si>
  <si>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</si>
  <si>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</si>
  <si>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</si>
  <si>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</si>
  <si>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</si>
  <si>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</si>
  <si>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</si>
  <si>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</si>
  <si>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</si>
  <si>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</si>
  <si>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</si>
  <si>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</si>
  <si>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</si>
  <si>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</si>
  <si>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</si>
  <si>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</si>
  <si>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</si>
  <si>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</si>
  <si>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</si>
  <si>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</si>
  <si>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</si>
  <si>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</si>
  <si>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</si>
  <si>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</si>
  <si>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</si>
  <si>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</si>
  <si>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</si>
  <si>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</si>
  <si>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</si>
  <si>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</si>
  <si>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</si>
  <si>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</si>
  <si>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</si>
  <si>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</si>
  <si>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</si>
  <si>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</si>
  <si>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</si>
  <si>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</si>
  <si>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</si>
  <si>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</si>
  <si>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</si>
  <si>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</si>
  <si>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</si>
  <si>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</si>
  <si>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</si>
  <si>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</si>
  <si>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</si>
  <si>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</si>
  <si>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</si>
  <si>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</si>
  <si>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</si>
  <si>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</si>
  <si>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</si>
  <si>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</si>
  <si>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</si>
  <si>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</si>
  <si>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</si>
  <si>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</si>
  <si>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</si>
  <si>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</si>
  <si>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</si>
  <si>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</si>
  <si>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</si>
  <si>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</si>
  <si>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</si>
  <si>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</si>
  <si>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</si>
  <si>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</si>
  <si>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</si>
  <si>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</si>
  <si>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</si>
  <si>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</si>
  <si>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</si>
  <si>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</si>
  <si>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</si>
  <si>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</si>
  <si>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</si>
  <si>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</si>
  <si>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</si>
  <si>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</si>
  <si>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</si>
  <si>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</si>
  <si>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</si>
  <si>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</si>
  <si>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</si>
  <si>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</si>
  <si>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</si>
  <si>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</si>
  <si>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</si>
  <si>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</si>
  <si>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</si>
  <si>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</si>
  <si>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</si>
  <si>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</si>
  <si>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</si>
  <si>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</si>
  <si>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</si>
  <si>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</si>
  <si>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</si>
  <si>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</si>
  <si>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</si>
  <si>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</si>
  <si>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</si>
  <si>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</si>
  <si>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</si>
  <si>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</si>
  <si>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</si>
  <si>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</si>
  <si>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</si>
  <si>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</si>
  <si>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</si>
  <si>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</si>
  <si>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</si>
  <si>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</si>
  <si>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</si>
  <si>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</si>
  <si>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</si>
  <si>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</si>
  <si>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</si>
  <si>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</si>
  <si>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</si>
  <si>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</si>
  <si>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</si>
  <si>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</si>
  <si>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</si>
  <si>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</si>
  <si>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</si>
  <si>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</si>
  <si>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</si>
  <si>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</si>
  <si>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</si>
  <si>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</si>
  <si>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</si>
  <si>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</si>
  <si>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</si>
  <si>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</si>
  <si>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</si>
  <si>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</si>
  <si>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</si>
  <si>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</si>
  <si>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</si>
  <si>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</si>
  <si>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</si>
  <si>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</si>
  <si>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</si>
  <si>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</si>
  <si>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</si>
  <si>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</si>
  <si>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</si>
  <si>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</si>
  <si>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</si>
  <si>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</si>
  <si>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</si>
  <si>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</si>
  <si>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</si>
  <si>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</si>
  <si>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</si>
  <si>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</si>
  <si>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</si>
  <si>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</si>
  <si>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</si>
  <si>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</si>
  <si>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</si>
  <si>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</si>
  <si>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</si>
  <si>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</si>
  <si>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</si>
  <si>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</si>
  <si>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</si>
  <si>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</si>
  <si>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</si>
  <si>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</si>
  <si>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</si>
  <si>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</si>
  <si>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</si>
  <si>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</si>
  <si>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</si>
  <si>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</si>
  <si>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</si>
  <si>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</si>
  <si>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</si>
  <si>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</si>
  <si>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</si>
  <si>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</si>
  <si>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</si>
  <si>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</si>
  <si>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</si>
  <si>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</si>
  <si>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</si>
  <si>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</si>
  <si>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</si>
  <si>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</si>
  <si>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</si>
  <si>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</si>
  <si>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</si>
  <si>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</si>
  <si>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</si>
  <si>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</si>
  <si>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</si>
  <si>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</si>
  <si>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</si>
  <si>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</si>
  <si>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</si>
  <si>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</si>
  <si>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</si>
  <si>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</si>
  <si>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</si>
  <si>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</si>
  <si>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</si>
  <si>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</si>
  <si>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</si>
  <si>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</si>
  <si>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</si>
  <si>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</si>
  <si>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</si>
  <si>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</si>
  <si>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</si>
  <si>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</si>
  <si>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</si>
  <si>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</si>
  <si>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</si>
  <si>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</si>
  <si>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</si>
  <si>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</si>
  <si>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</si>
  <si>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</si>
  <si>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</si>
  <si>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</si>
  <si>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</si>
  <si>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</si>
  <si>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</si>
  <si>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</si>
  <si>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</si>
  <si>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</si>
  <si>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</si>
  <si>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</si>
  <si>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</si>
  <si>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</si>
  <si>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</si>
  <si>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</si>
  <si>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</si>
  <si>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</si>
  <si>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</si>
  <si>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</si>
  <si>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</si>
  <si>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</si>
  <si>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</si>
  <si>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</si>
  <si>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</si>
  <si>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</si>
  <si>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</si>
  <si>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</si>
  <si>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</si>
  <si>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</si>
  <si>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</si>
  <si>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</si>
  <si>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</si>
  <si>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</si>
  <si>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</si>
  <si>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</si>
  <si>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</si>
  <si>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</si>
  <si>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</si>
  <si>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</si>
  <si>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</si>
  <si>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</si>
  <si>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</si>
  <si>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</si>
  <si>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</si>
  <si>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</si>
  <si>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</si>
  <si>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</si>
  <si>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</si>
  <si>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</si>
  <si>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</si>
  <si>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</si>
  <si>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</si>
  <si>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</si>
  <si>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</si>
  <si>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</si>
  <si>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</si>
  <si>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</si>
  <si>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</si>
  <si>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</si>
  <si>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</si>
  <si>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</si>
  <si>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</si>
  <si>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</si>
  <si>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</si>
  <si>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</si>
  <si>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</si>
  <si>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</si>
  <si>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</si>
  <si>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</si>
  <si>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</si>
  <si>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</si>
  <si>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</si>
  <si>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</si>
  <si>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</si>
  <si>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</si>
  <si>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</si>
  <si>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</si>
  <si>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</si>
  <si>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</si>
  <si>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</si>
  <si>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</si>
  <si>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</si>
  <si>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</si>
  <si>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</si>
  <si>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</si>
  <si>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</si>
  <si>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</si>
  <si>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</si>
  <si>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</si>
  <si>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</si>
  <si>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</si>
  <si>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</si>
  <si>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</si>
  <si>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</si>
  <si>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</si>
  <si>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</si>
  <si>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</si>
  <si>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</si>
  <si>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</si>
  <si>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</si>
  <si>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</si>
  <si>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</si>
  <si>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</si>
  <si>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</si>
  <si>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</si>
  <si>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</si>
  <si>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</si>
  <si>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</si>
  <si>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</si>
  <si>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</si>
  <si>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</si>
  <si>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</si>
  <si>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</si>
  <si>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</si>
  <si>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</si>
  <si>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</si>
  <si>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</si>
  <si>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</si>
  <si>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</si>
  <si>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</si>
  <si>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</si>
  <si>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</si>
  <si>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</si>
  <si>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</si>
  <si>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</si>
  <si>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</si>
  <si>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</si>
  <si>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</si>
  <si>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</si>
  <si>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</si>
  <si>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</si>
  <si>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</si>
  <si>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</si>
  <si>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</si>
  <si>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</si>
  <si>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</si>
  <si>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</si>
  <si>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</si>
  <si>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</si>
  <si>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</si>
  <si>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</si>
  <si>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</si>
  <si>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</si>
  <si>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</si>
  <si>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</si>
  <si>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</si>
  <si>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</si>
  <si>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</si>
  <si>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</si>
  <si>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</si>
  <si>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</si>
  <si>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</si>
  <si>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</si>
  <si>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</si>
  <si>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</si>
  <si>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</si>
  <si>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</si>
  <si>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</si>
  <si>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</si>
  <si>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</si>
  <si>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</si>
  <si>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</si>
  <si>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</si>
  <si>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</si>
  <si>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</si>
  <si>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</si>
  <si>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</si>
  <si>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</si>
  <si>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</si>
  <si>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</si>
  <si>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</si>
  <si>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</si>
  <si>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</si>
  <si>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</si>
  <si>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</si>
  <si>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</si>
  <si>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</si>
  <si>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</si>
  <si>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</si>
  <si>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</si>
  <si>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</si>
  <si>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</si>
  <si>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</si>
  <si>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</si>
  <si>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</si>
  <si>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</si>
  <si>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</si>
  <si>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</si>
  <si>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</si>
  <si>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</si>
  <si>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</si>
  <si>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</si>
  <si>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</si>
  <si>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</si>
  <si>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</si>
  <si>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</si>
  <si>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</si>
  <si>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</si>
  <si>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</si>
  <si>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</si>
  <si>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</si>
  <si>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</si>
  <si>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</si>
  <si>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</si>
  <si>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</si>
  <si>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</si>
  <si>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</si>
  <si>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</si>
  <si>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</si>
  <si>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</si>
  <si>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</si>
  <si>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</si>
  <si>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</si>
  <si>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</si>
  <si>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</si>
  <si>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</si>
  <si>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</si>
  <si>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</si>
  <si>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</si>
  <si>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</si>
  <si>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</si>
  <si>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</si>
  <si>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</si>
  <si>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</si>
  <si>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</si>
  <si>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</si>
  <si>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</si>
  <si>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</si>
  <si>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</si>
  <si>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</si>
  <si>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</si>
  <si>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</si>
  <si>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</si>
  <si>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</si>
  <si>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</si>
  <si>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</si>
  <si>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</si>
  <si>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</si>
  <si>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</si>
  <si>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</si>
  <si>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</si>
  <si>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</si>
  <si>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</si>
  <si>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</si>
  <si>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</si>
  <si>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</si>
  <si>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</si>
  <si>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</si>
  <si>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</si>
  <si>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</si>
  <si>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</si>
  <si>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</si>
  <si>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</si>
  <si>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</si>
  <si>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</si>
  <si>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</si>
  <si>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</si>
  <si>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</si>
  <si>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</si>
  <si>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</si>
  <si>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</si>
  <si>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</si>
  <si>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</si>
  <si>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Column F- audit adjustment</t>
  </si>
  <si>
    <t xml:space="preserve">Column H- audit adjustment to move school store from student activity funds to special revenue fund </t>
  </si>
  <si>
    <t>01/15</t>
  </si>
  <si>
    <t>8/2017</t>
  </si>
  <si>
    <t>07/2025</t>
  </si>
  <si>
    <t>8/2037</t>
  </si>
  <si>
    <t xml:space="preserve">Column G- audit adjustment to adjust beginning fund balance per prior year audited balances for inventory.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</si>
</sst>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1463</v>
      </c>
      <c r="B2">
        <f>INDEX('School Tables'!$AH$3:$AH$213,MATCH('DOE25'!A2,'School Tables'!$AJ$3:$AJ$213,0))</f>
        <v>575</v>
      </c>
      <c r="C2">
        <f>INDEX('School Tables'!$AI$3:$AI$213,MATCH('DOE25'!A2,'School Tables'!$AJ$3:$AJ$213,0))</f>
        <v>575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4336099.53</v>
      </c>
      <c r="G9" s="18"/>
      <c r="H9" s="18">
        <v>25378.15</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1414455.21</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916858</v>
      </c>
      <c r="G12" s="18">
        <v>607181.86</v>
      </c>
      <c r="H12" s="18">
        <v>458540.77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6794.07</v>
      </c>
      <c r="H13" s="18">
        <v>219328.91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46568.959999999999</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41533.25</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15369.29</v>
      </c>
      <c r="G17" s="18">
        <v>958</v>
      </c>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5314895.78</v>
      </c>
      <c r="G19" s="38">
        <f>SUM(G9:G18)</f>
        <v>656467.17999999993</v>
      </c>
      <c r="H19" s="38">
        <f>SUM(H9:H18)</f>
        <v>703247.83000000007</v>
      </c>
      <c r="I19" s="38">
        <f>SUM(I9:I18)</f>
        <v>0</v>
      </c>
      <c r="J19" s="38">
        <f>SUM(J9:J18)</f>
        <v>1414455.21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1689318</v>
      </c>
      <c r="G22" s="18"/>
      <c r="H22" s="18">
        <v>219328.91</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39517</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277000.28999999998</v>
      </c>
      <c r="G24" s="18">
        <v>564.99</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1107977.67</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44171.53</v>
      </c>
      <c r="G29" s="18">
        <v>2617.79</v>
      </c>
      <c r="H29" s="18">
        <v>28724.17</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16775</v>
      </c>
      <c r="G30" s="18">
        <v>56869.33</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3174759.4899999998</v>
      </c>
      <c r="G32" s="38">
        <f>SUM(G22:G31)</f>
        <v>60052.11</v>
      </c>
      <c r="H32" s="38">
        <f>SUM(H22:H31)</f>
        <v>248053.08000000002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41533.25</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15369.02</v>
      </c>
      <c r="G36" s="18">
        <v>958</v>
      </c>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553923.81999999995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555000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1014776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455194.75</v>
      </c>
      <c r="I48" s="18"/>
      <c r="J48" s="13">
        <f>SUM(I460)</f>
        <v>1414455.21</v>
      </c>
      <c r="K48" s="23" t="s">
        <v>288</v>
      </c>
      <c r="L48" s="23" t="s">
        <v>288</v>
      </c>
      <c r="M48" s="8"/>
      <c r="N48" s="164"/>
    </row>
    <row r="49" spans="1:14" s="3" customFormat="1" ht="12.2" customHeight="1" x14ac:dyDescent="0.15">
      <c r="A49" s="1" t="s">
        <v>855</v>
      </c>
      <c r="B49" s="2" t="s">
        <v>289</v>
      </c>
      <c r="C49" s="6">
        <v>34</v>
      </c>
      <c r="D49" s="2"/>
      <c r="E49" s="6">
        <v>753</v>
      </c>
      <c r="F49" s="18">
        <v>554991.27</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2140136.29</v>
      </c>
      <c r="G51" s="38">
        <f>SUM(G35:G50)</f>
        <v>596415.06999999995</v>
      </c>
      <c r="H51" s="38">
        <f>SUM(H35:H50)</f>
        <v>455194.75</v>
      </c>
      <c r="I51" s="38">
        <f>SUM(I35:I50)</f>
        <v>0</v>
      </c>
      <c r="J51" s="38">
        <f>SUM(J35:J50)</f>
        <v>1414455.21</v>
      </c>
      <c r="K51" s="42" t="s">
        <v>288</v>
      </c>
      <c r="L51" s="42" t="s">
        <v>288</v>
      </c>
      <c r="N51" s="130"/>
    </row>
    <row r="52" spans="1:14" s="3" customFormat="1" ht="12.2" customHeight="1" thickTop="1" x14ac:dyDescent="0.15">
      <c r="A52" s="35" t="s">
        <v>455</v>
      </c>
      <c r="B52" s="36" t="s">
        <v>289</v>
      </c>
      <c r="C52" s="6">
        <v>37</v>
      </c>
      <c r="D52" s="36" t="s">
        <v>653</v>
      </c>
      <c r="E52" s="36"/>
      <c r="F52" s="38">
        <f>F51+F32</f>
        <v>5314895.7799999993</v>
      </c>
      <c r="G52" s="38">
        <f>G51+G32</f>
        <v>656467.17999999993</v>
      </c>
      <c r="H52" s="38">
        <f>H51+H32</f>
        <v>703247.83000000007</v>
      </c>
      <c r="I52" s="38">
        <f>I51+I32</f>
        <v>0</v>
      </c>
      <c r="J52" s="38">
        <f>J51+J32</f>
        <v>1414455.21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47011761</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47011761</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100367.18</v>
      </c>
      <c r="G63" s="23" t="s">
        <v>288</v>
      </c>
      <c r="H63" s="18">
        <v>40753</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7493</v>
      </c>
      <c r="G64" s="23" t="s">
        <v>288</v>
      </c>
      <c r="H64" s="18">
        <v>201153</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107860.18</v>
      </c>
      <c r="G79" s="42" t="s">
        <v>288</v>
      </c>
      <c r="H79" s="38">
        <f>SUM(H63:H78)</f>
        <v>241906</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161042.87</v>
      </c>
      <c r="G96" s="18"/>
      <c r="H96" s="18"/>
      <c r="I96" s="18"/>
      <c r="J96" s="18">
        <v>38649.199999999997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812065.73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v>152119.9</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56078</v>
      </c>
      <c r="G101" s="18"/>
      <c r="H101" s="18">
        <v>83473.539999999994</v>
      </c>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63969.18</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278199.34999999998</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495320.22</v>
      </c>
      <c r="G111" s="38">
        <f>SUM(G96:G110)</f>
        <v>812065.73</v>
      </c>
      <c r="H111" s="38">
        <f>SUM(H96:H110)</f>
        <v>299562.62</v>
      </c>
      <c r="I111" s="38">
        <f>SUM(I96:I110)</f>
        <v>0</v>
      </c>
      <c r="J111" s="38">
        <f>SUM(J96:J110)</f>
        <v>38649.199999999997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47614941.399999999</v>
      </c>
      <c r="G112" s="38">
        <f>G60+G111</f>
        <v>812065.73</v>
      </c>
      <c r="H112" s="38">
        <f>H60+H79+H94+H111</f>
        <v>541468.62</v>
      </c>
      <c r="I112" s="38">
        <f>I60+I111</f>
        <v>0</v>
      </c>
      <c r="J112" s="38">
        <f>J60+J111</f>
        <v>38649.199999999997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7811309.8300000001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5723502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23449.54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13558261.369999999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602994.56999999995</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588675.47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21907.9</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13898.62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1213577.94</v>
      </c>
      <c r="G136" s="38">
        <f>SUM(G123:G135)</f>
        <v>13898.62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14771839.309999999</v>
      </c>
      <c r="G140" s="38">
        <f>G121+SUM(G136:G137)</f>
        <v>13898.62</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v>72581.320000000007</v>
      </c>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72581.320000000007</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39879.42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72809.16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126645.87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627727.65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24798.28</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90642</v>
      </c>
      <c r="H161" s="18">
        <v>106287.46</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63612.39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24798.28</v>
      </c>
      <c r="G163" s="38">
        <f>SUM(G150:G162)</f>
        <v>217287.87</v>
      </c>
      <c r="H163" s="38">
        <f>SUM(H150:H162)</f>
        <v>910316.08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24798.28</v>
      </c>
      <c r="G170" s="38">
        <f>G147+G163+SUM(G164:G169)</f>
        <v>289869.19</v>
      </c>
      <c r="H170" s="38">
        <f>H147+H163+SUM(H164:H169)</f>
        <v>910316.08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675000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675000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v>1696.71</v>
      </c>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1696.71</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1696.71</v>
      </c>
      <c r="G193" s="38">
        <f>G184+SUM(G189:G192)</f>
        <v>0</v>
      </c>
      <c r="H193" s="38">
        <f>+H184+SUM(H189:H192)</f>
        <v>0</v>
      </c>
      <c r="I193" s="38">
        <f>I178+I184+SUM(I189:I192)</f>
        <v>0</v>
      </c>
      <c r="J193" s="38">
        <f>J184</f>
        <v>675000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62413275.699999996</v>
      </c>
      <c r="G194" s="38">
        <f>G112+G140+G170+G193</f>
        <v>1115833.54</v>
      </c>
      <c r="H194" s="38">
        <f>H112+H140+H170+H193</f>
        <v>1451784.7</v>
      </c>
      <c r="I194" s="38">
        <f>I112+I140+I170+I193</f>
        <v>0</v>
      </c>
      <c r="J194" s="38">
        <f>J112+J140+J193</f>
        <v>713649.2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6527674.29</v>
      </c>
      <c r="G198" s="18">
        <v>3343281.27</v>
      </c>
      <c r="H198" s="18">
        <v>4881.1400000000003</v>
      </c>
      <c r="I198" s="18">
        <v>439026.83</v>
      </c>
      <c r="J198" s="18">
        <v>53009.79</v>
      </c>
      <c r="K198" s="18">
        <v>2877.5</v>
      </c>
      <c r="L198" s="13">
        <f>SUM(F198:K198)</f>
        <v>10370750.82</v>
      </c>
      <c r="M198" s="8"/>
      <c r="N198" s="164"/>
    </row>
    <row r="199" spans="1:14" s="3" customFormat="1" ht="12.2" customHeight="1" x14ac:dyDescent="0.15">
      <c r="A199" s="1" t="s">
        <v>439</v>
      </c>
      <c r="B199" s="2" t="s">
        <v>341</v>
      </c>
      <c r="C199" s="2" t="s">
        <v>291</v>
      </c>
      <c r="D199" s="2" t="s">
        <v>431</v>
      </c>
      <c r="E199" s="6">
        <v>1200</v>
      </c>
      <c r="F199" s="18">
        <v>2619560.9300000002</v>
      </c>
      <c r="G199" s="18">
        <v>1346551.28</v>
      </c>
      <c r="H199" s="18">
        <v>1888625.08</v>
      </c>
      <c r="I199" s="18">
        <v>10028.290000000001</v>
      </c>
      <c r="J199" s="18">
        <v>5840.12</v>
      </c>
      <c r="K199" s="18">
        <v>1411.86</v>
      </c>
      <c r="L199" s="13">
        <f>SUM(F199:K199)</f>
        <v>5872017.5600000005</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76297.5</v>
      </c>
      <c r="G201" s="18">
        <v>39253.040000000001</v>
      </c>
      <c r="H201" s="18"/>
      <c r="I201" s="18">
        <v>8531.7199999999993</v>
      </c>
      <c r="J201" s="18"/>
      <c r="K201" s="18"/>
      <c r="L201" s="13">
        <f>SUM(F201:K201)</f>
        <v>124082.26000000001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1438979.92</v>
      </c>
      <c r="G203" s="18">
        <v>740317.08</v>
      </c>
      <c r="H203" s="18">
        <v>175273.63</v>
      </c>
      <c r="I203" s="18">
        <v>26694.17</v>
      </c>
      <c r="J203" s="18">
        <v>8568.7000000000007</v>
      </c>
      <c r="K203" s="18">
        <v>10065.450000000001</v>
      </c>
      <c r="L203" s="13">
        <f t="shared" ref="L203:L209" si="0">SUM(F203:K203)</f>
        <v>2399898.9500000002</v>
      </c>
      <c r="M203" s="8"/>
      <c r="N203" s="164"/>
    </row>
    <row r="204" spans="1:14" s="3" customFormat="1" ht="12.2" customHeight="1" x14ac:dyDescent="0.15">
      <c r="A204" s="1" t="s">
        <v>443</v>
      </c>
      <c r="B204" s="2" t="s">
        <v>341</v>
      </c>
      <c r="C204" s="2" t="s">
        <v>295</v>
      </c>
      <c r="D204" s="2" t="s">
        <v>431</v>
      </c>
      <c r="E204" s="6">
        <v>2200</v>
      </c>
      <c r="F204" s="18">
        <v>528841.55000000005</v>
      </c>
      <c r="G204" s="18">
        <v>324932.40999999997</v>
      </c>
      <c r="H204" s="18">
        <v>84655.51</v>
      </c>
      <c r="I204" s="18">
        <v>285246.76</v>
      </c>
      <c r="J204" s="18">
        <v>90606.37</v>
      </c>
      <c r="K204" s="18">
        <v>1600.33</v>
      </c>
      <c r="L204" s="13">
        <f t="shared" si="0"/>
        <v>1315882.9300000002</v>
      </c>
      <c r="M204" s="8"/>
      <c r="N204" s="164"/>
    </row>
    <row r="205" spans="1:14" s="3" customFormat="1" ht="12.2" customHeight="1" x14ac:dyDescent="0.15">
      <c r="A205" s="1" t="s">
        <v>444</v>
      </c>
      <c r="B205" s="2" t="s">
        <v>341</v>
      </c>
      <c r="C205" s="2" t="s">
        <v>296</v>
      </c>
      <c r="D205" s="2" t="s">
        <v>431</v>
      </c>
      <c r="E205" s="6">
        <v>2300</v>
      </c>
      <c r="F205" s="18">
        <v>810860.83</v>
      </c>
      <c r="G205" s="18">
        <v>401111.86</v>
      </c>
      <c r="H205" s="18">
        <v>92705.52</v>
      </c>
      <c r="I205" s="18">
        <v>10324.790000000001</v>
      </c>
      <c r="J205" s="18">
        <v>1278.22</v>
      </c>
      <c r="K205" s="18">
        <v>31601.1</v>
      </c>
      <c r="L205" s="13">
        <f t="shared" si="0"/>
        <v>1347882.32</v>
      </c>
      <c r="M205" s="8"/>
      <c r="N205" s="164"/>
    </row>
    <row r="206" spans="1:14" s="3" customFormat="1" ht="12.2" customHeight="1" x14ac:dyDescent="0.15">
      <c r="A206" s="1" t="s">
        <v>445</v>
      </c>
      <c r="B206" s="2" t="s">
        <v>341</v>
      </c>
      <c r="C206" s="2" t="s">
        <v>297</v>
      </c>
      <c r="D206" s="2" t="s">
        <v>431</v>
      </c>
      <c r="E206" s="6">
        <v>2400</v>
      </c>
      <c r="F206" s="18">
        <v>732787.71</v>
      </c>
      <c r="G206" s="18">
        <v>372977.98</v>
      </c>
      <c r="H206" s="18">
        <v>91169.279999999999</v>
      </c>
      <c r="I206" s="18">
        <v>9841.41</v>
      </c>
      <c r="J206" s="18">
        <v>9445.2199999999993</v>
      </c>
      <c r="K206" s="18">
        <v>5842.6</v>
      </c>
      <c r="L206" s="13">
        <f t="shared" si="0"/>
        <v>1222064.2</v>
      </c>
      <c r="M206" s="8"/>
      <c r="N206" s="164"/>
    </row>
    <row r="207" spans="1:14" s="3" customFormat="1" ht="12.2" customHeight="1" x14ac:dyDescent="0.15">
      <c r="A207" s="1" t="s">
        <v>446</v>
      </c>
      <c r="B207" s="2" t="s">
        <v>341</v>
      </c>
      <c r="C207" s="2" t="s">
        <v>298</v>
      </c>
      <c r="D207" s="2" t="s">
        <v>431</v>
      </c>
      <c r="E207" s="6">
        <v>2500</v>
      </c>
      <c r="F207" s="18">
        <v>303329.28999999998</v>
      </c>
      <c r="G207" s="18">
        <v>156054.89000000001</v>
      </c>
      <c r="H207" s="18">
        <v>79222.62</v>
      </c>
      <c r="I207" s="18">
        <v>3248.06</v>
      </c>
      <c r="J207" s="18"/>
      <c r="K207" s="18">
        <v>6522.19</v>
      </c>
      <c r="L207" s="13">
        <f t="shared" si="0"/>
        <v>548377.05000000005</v>
      </c>
      <c r="M207" s="8"/>
      <c r="N207" s="164"/>
    </row>
    <row r="208" spans="1:14" s="3" customFormat="1" ht="12.2" customHeight="1" x14ac:dyDescent="0.15">
      <c r="A208" s="1" t="s">
        <v>447</v>
      </c>
      <c r="B208" s="2" t="s">
        <v>341</v>
      </c>
      <c r="C208" s="2" t="s">
        <v>299</v>
      </c>
      <c r="D208" s="2" t="s">
        <v>431</v>
      </c>
      <c r="E208" s="6">
        <v>2600</v>
      </c>
      <c r="F208" s="18">
        <v>713717.32</v>
      </c>
      <c r="G208" s="18">
        <v>367188.67</v>
      </c>
      <c r="H208" s="18">
        <v>524564.43000000005</v>
      </c>
      <c r="I208" s="18">
        <v>499815.67999999999</v>
      </c>
      <c r="J208" s="18">
        <v>15538.82</v>
      </c>
      <c r="K208" s="18"/>
      <c r="L208" s="13">
        <f t="shared" si="0"/>
        <v>2120824.92</v>
      </c>
      <c r="M208" s="8"/>
      <c r="N208" s="164"/>
    </row>
    <row r="209" spans="1:14" s="3" customFormat="1" ht="12.2" customHeight="1" x14ac:dyDescent="0.15">
      <c r="A209" s="1" t="s">
        <v>448</v>
      </c>
      <c r="B209" s="2" t="s">
        <v>341</v>
      </c>
      <c r="C209" s="2" t="s">
        <v>300</v>
      </c>
      <c r="D209" s="2" t="s">
        <v>431</v>
      </c>
      <c r="E209" s="6">
        <v>2700</v>
      </c>
      <c r="F209" s="18"/>
      <c r="G209" s="18"/>
      <c r="H209" s="18">
        <v>1748694</v>
      </c>
      <c r="I209" s="18"/>
      <c r="J209" s="18"/>
      <c r="K209" s="18"/>
      <c r="L209" s="13">
        <f t="shared" si="0"/>
        <v>1748694</v>
      </c>
      <c r="M209" s="8"/>
      <c r="N209" s="164"/>
    </row>
    <row r="210" spans="1:14" s="3" customFormat="1" ht="12.2" customHeight="1" x14ac:dyDescent="0.15">
      <c r="A210" s="1" t="s">
        <v>449</v>
      </c>
      <c r="B210" s="2" t="s">
        <v>341</v>
      </c>
      <c r="C210" s="2" t="s">
        <v>343</v>
      </c>
      <c r="D210" s="2" t="s">
        <v>431</v>
      </c>
      <c r="E210" s="6">
        <v>2800</v>
      </c>
      <c r="F210" s="18"/>
      <c r="G210" s="18"/>
      <c r="H210" s="18">
        <v>3267.12</v>
      </c>
      <c r="I210" s="18"/>
      <c r="J210" s="18"/>
      <c r="K210" s="18"/>
      <c r="L210" s="13">
        <f>SUM(F210:K210)</f>
        <v>3267.12</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13752049.34</v>
      </c>
      <c r="G212" s="38">
        <f t="shared" si="1"/>
        <v>7091668.4799999995</v>
      </c>
      <c r="H212" s="38">
        <f t="shared" si="1"/>
        <v>4693058.33</v>
      </c>
      <c r="I212" s="38">
        <f t="shared" si="1"/>
        <v>1292757.7100000002</v>
      </c>
      <c r="J212" s="38">
        <f t="shared" si="1"/>
        <v>184287.24</v>
      </c>
      <c r="K212" s="38">
        <f t="shared" si="1"/>
        <v>59921.03</v>
      </c>
      <c r="L212" s="38">
        <f t="shared" si="1"/>
        <v>27073742.129999999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2231608.2400000002</v>
      </c>
      <c r="G216" s="18">
        <v>1131669.23</v>
      </c>
      <c r="H216" s="18">
        <v>1397.64</v>
      </c>
      <c r="I216" s="18">
        <v>150896.26</v>
      </c>
      <c r="J216" s="18">
        <v>19453.32</v>
      </c>
      <c r="K216" s="18">
        <v>599.9</v>
      </c>
      <c r="L216" s="13">
        <f>SUM(F216:K216)</f>
        <v>3535624.59</v>
      </c>
      <c r="M216" s="8"/>
      <c r="N216" s="164"/>
    </row>
    <row r="217" spans="1:14" s="3" customFormat="1" ht="12.2" customHeight="1" x14ac:dyDescent="0.15">
      <c r="A217" s="1" t="s">
        <v>439</v>
      </c>
      <c r="B217" s="2" t="s">
        <v>346</v>
      </c>
      <c r="C217" s="2" t="s">
        <v>291</v>
      </c>
      <c r="D217" s="2" t="s">
        <v>431</v>
      </c>
      <c r="E217" s="6">
        <v>1200</v>
      </c>
      <c r="F217" s="18">
        <v>618681.68000000005</v>
      </c>
      <c r="G217" s="18">
        <v>314135.25</v>
      </c>
      <c r="H217" s="18">
        <v>449280.57</v>
      </c>
      <c r="I217" s="18">
        <v>8011.86</v>
      </c>
      <c r="J217" s="18">
        <v>6903.79</v>
      </c>
      <c r="K217" s="18">
        <v>372.94</v>
      </c>
      <c r="L217" s="13">
        <f>SUM(F217:K217)</f>
        <v>1397386.09</v>
      </c>
      <c r="M217" s="8"/>
      <c r="N217" s="164"/>
    </row>
    <row r="218" spans="1:14" s="3" customFormat="1" ht="12.2" customHeight="1" x14ac:dyDescent="0.15">
      <c r="A218" s="1" t="s">
        <v>440</v>
      </c>
      <c r="B218" s="2" t="s">
        <v>346</v>
      </c>
      <c r="C218" s="2" t="s">
        <v>292</v>
      </c>
      <c r="D218" s="2" t="s">
        <v>431</v>
      </c>
      <c r="E218" s="6">
        <v>1300</v>
      </c>
      <c r="F218" s="18">
        <v>86375.9</v>
      </c>
      <c r="G218" s="18">
        <v>37370.910000000003</v>
      </c>
      <c r="H218" s="18">
        <v>883.2</v>
      </c>
      <c r="I218" s="18">
        <v>11844.42</v>
      </c>
      <c r="J218" s="18">
        <v>145.88999999999999</v>
      </c>
      <c r="K218" s="18"/>
      <c r="L218" s="13">
        <f>SUM(F218:K218)</f>
        <v>136620.32</v>
      </c>
      <c r="M218" s="8"/>
      <c r="N218" s="164"/>
    </row>
    <row r="219" spans="1:14" s="3" customFormat="1" ht="12.2" customHeight="1" x14ac:dyDescent="0.15">
      <c r="A219" s="1" t="s">
        <v>441</v>
      </c>
      <c r="B219" s="2" t="s">
        <v>346</v>
      </c>
      <c r="C219" s="2" t="s">
        <v>293</v>
      </c>
      <c r="D219" s="2" t="s">
        <v>431</v>
      </c>
      <c r="E219" s="6">
        <v>1400</v>
      </c>
      <c r="F219" s="18">
        <v>115185</v>
      </c>
      <c r="G219" s="18">
        <v>58411.38</v>
      </c>
      <c r="H219" s="18">
        <v>10027.5</v>
      </c>
      <c r="I219" s="18">
        <v>10008.58</v>
      </c>
      <c r="J219" s="18">
        <v>23825</v>
      </c>
      <c r="K219" s="18">
        <v>2770.1</v>
      </c>
      <c r="L219" s="13">
        <f>SUM(F219:K219)</f>
        <v>220227.56</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342710.51</v>
      </c>
      <c r="G221" s="18">
        <v>173791.68</v>
      </c>
      <c r="H221" s="18">
        <v>247564.89</v>
      </c>
      <c r="I221" s="18">
        <v>4578.93</v>
      </c>
      <c r="J221" s="18">
        <v>1480.49</v>
      </c>
      <c r="K221" s="18">
        <v>4182.7</v>
      </c>
      <c r="L221" s="13">
        <f t="shared" ref="L221:L227" si="2">SUM(F221:K221)</f>
        <v>774309.20000000007</v>
      </c>
      <c r="M221" s="8"/>
      <c r="N221" s="164"/>
    </row>
    <row r="222" spans="1:14" s="3" customFormat="1" ht="12.2" customHeight="1" x14ac:dyDescent="0.15">
      <c r="A222" s="1" t="s">
        <v>443</v>
      </c>
      <c r="B222" s="2" t="s">
        <v>346</v>
      </c>
      <c r="C222" s="2" t="s">
        <v>295</v>
      </c>
      <c r="D222" s="2" t="s">
        <v>431</v>
      </c>
      <c r="E222" s="6">
        <v>2200</v>
      </c>
      <c r="F222" s="18">
        <v>162844.64000000001</v>
      </c>
      <c r="G222" s="18">
        <v>96542.37</v>
      </c>
      <c r="H222" s="18">
        <v>22163.72</v>
      </c>
      <c r="I222" s="18">
        <v>80902.19</v>
      </c>
      <c r="J222" s="18">
        <v>23775.43</v>
      </c>
      <c r="K222" s="18">
        <v>422.73</v>
      </c>
      <c r="L222" s="13">
        <f t="shared" si="2"/>
        <v>386651.07999999996</v>
      </c>
      <c r="M222" s="8"/>
      <c r="N222" s="164"/>
    </row>
    <row r="223" spans="1:14" s="3" customFormat="1" ht="12.2" customHeight="1" x14ac:dyDescent="0.15">
      <c r="A223" s="1" t="s">
        <v>444</v>
      </c>
      <c r="B223" s="2" t="s">
        <v>346</v>
      </c>
      <c r="C223" s="2" t="s">
        <v>296</v>
      </c>
      <c r="D223" s="2" t="s">
        <v>431</v>
      </c>
      <c r="E223" s="6">
        <v>2300</v>
      </c>
      <c r="F223" s="18">
        <v>276213.76000000001</v>
      </c>
      <c r="G223" s="18">
        <v>135890.43</v>
      </c>
      <c r="H223" s="18">
        <v>24918.22</v>
      </c>
      <c r="I223" s="18">
        <v>2727.3</v>
      </c>
      <c r="J223" s="18">
        <v>337.64</v>
      </c>
      <c r="K223" s="18">
        <v>8347.4599999999991</v>
      </c>
      <c r="L223" s="13">
        <f t="shared" si="2"/>
        <v>448434.81000000006</v>
      </c>
      <c r="M223" s="8"/>
      <c r="N223" s="164"/>
    </row>
    <row r="224" spans="1:14" s="3" customFormat="1" ht="12.2" customHeight="1" x14ac:dyDescent="0.15">
      <c r="A224" s="1" t="s">
        <v>445</v>
      </c>
      <c r="B224" s="2" t="s">
        <v>346</v>
      </c>
      <c r="C224" s="2" t="s">
        <v>297</v>
      </c>
      <c r="D224" s="2" t="s">
        <v>431</v>
      </c>
      <c r="E224" s="6">
        <v>2400</v>
      </c>
      <c r="F224" s="18">
        <v>312942.30300000001</v>
      </c>
      <c r="G224" s="18">
        <v>157648.62</v>
      </c>
      <c r="H224" s="18">
        <v>40856.78</v>
      </c>
      <c r="I224" s="18">
        <v>2530.2600000000002</v>
      </c>
      <c r="J224" s="18">
        <v>1499.98</v>
      </c>
      <c r="K224" s="18">
        <v>15418.69</v>
      </c>
      <c r="L224" s="13">
        <f t="shared" si="2"/>
        <v>530896.63299999991</v>
      </c>
      <c r="M224" s="8"/>
      <c r="N224" s="164"/>
    </row>
    <row r="225" spans="1:14" s="3" customFormat="1" ht="12.2" customHeight="1" x14ac:dyDescent="0.15">
      <c r="A225" s="1" t="s">
        <v>446</v>
      </c>
      <c r="B225" s="2" t="s">
        <v>346</v>
      </c>
      <c r="C225" s="2" t="s">
        <v>298</v>
      </c>
      <c r="D225" s="2" t="s">
        <v>431</v>
      </c>
      <c r="E225" s="6">
        <v>2500</v>
      </c>
      <c r="F225" s="18">
        <v>80124.72</v>
      </c>
      <c r="G225" s="18">
        <v>40631.99</v>
      </c>
      <c r="H225" s="18">
        <v>20926.73</v>
      </c>
      <c r="I225" s="18">
        <v>858.15</v>
      </c>
      <c r="J225" s="18"/>
      <c r="K225" s="18">
        <v>1722.84</v>
      </c>
      <c r="L225" s="13">
        <f t="shared" si="2"/>
        <v>144264.43</v>
      </c>
      <c r="M225" s="8"/>
      <c r="N225" s="164"/>
    </row>
    <row r="226" spans="1:14" s="3" customFormat="1" ht="12.2" customHeight="1" x14ac:dyDescent="0.15">
      <c r="A226" s="1" t="s">
        <v>447</v>
      </c>
      <c r="B226" s="2" t="s">
        <v>346</v>
      </c>
      <c r="C226" s="2" t="s">
        <v>299</v>
      </c>
      <c r="D226" s="2" t="s">
        <v>431</v>
      </c>
      <c r="E226" s="6">
        <v>2600</v>
      </c>
      <c r="F226" s="18">
        <v>258252.74</v>
      </c>
      <c r="G226" s="18">
        <v>130962.36</v>
      </c>
      <c r="H226" s="18">
        <v>197617.03</v>
      </c>
      <c r="I226" s="18">
        <v>187000.83</v>
      </c>
      <c r="J226" s="18">
        <v>1178.28</v>
      </c>
      <c r="K226" s="18"/>
      <c r="L226" s="13">
        <f t="shared" si="2"/>
        <v>775011.24</v>
      </c>
      <c r="M226" s="8"/>
      <c r="N226" s="164"/>
    </row>
    <row r="227" spans="1:14" s="3" customFormat="1" ht="12.2" customHeight="1" x14ac:dyDescent="0.15">
      <c r="A227" s="1" t="s">
        <v>448</v>
      </c>
      <c r="B227" s="2" t="s">
        <v>346</v>
      </c>
      <c r="C227" s="2" t="s">
        <v>300</v>
      </c>
      <c r="D227" s="2" t="s">
        <v>431</v>
      </c>
      <c r="E227" s="6">
        <v>2700</v>
      </c>
      <c r="F227" s="18"/>
      <c r="G227" s="18"/>
      <c r="H227" s="18">
        <v>484847.4</v>
      </c>
      <c r="I227" s="18"/>
      <c r="J227" s="18"/>
      <c r="K227" s="18"/>
      <c r="L227" s="13">
        <f t="shared" si="2"/>
        <v>484847.4</v>
      </c>
      <c r="M227" s="8"/>
      <c r="N227" s="164"/>
    </row>
    <row r="228" spans="1:14" s="3" customFormat="1" ht="12.2" customHeight="1" x14ac:dyDescent="0.15">
      <c r="A228" s="1" t="s">
        <v>449</v>
      </c>
      <c r="B228" s="2" t="s">
        <v>346</v>
      </c>
      <c r="C228" s="2" t="s">
        <v>343</v>
      </c>
      <c r="D228" s="2" t="s">
        <v>431</v>
      </c>
      <c r="E228" s="6">
        <v>2800</v>
      </c>
      <c r="F228" s="18"/>
      <c r="G228" s="18"/>
      <c r="H228" s="18">
        <v>1002</v>
      </c>
      <c r="I228" s="18"/>
      <c r="J228" s="18"/>
      <c r="K228" s="18"/>
      <c r="L228" s="13">
        <f>SUM(F228:K228)</f>
        <v>1002</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4484939.4930000007</v>
      </c>
      <c r="G230" s="38">
        <f>SUM(G216:G229)</f>
        <v>2277054.2199999997</v>
      </c>
      <c r="H230" s="38">
        <f>SUM(H216:H229)</f>
        <v>1501485.6800000002</v>
      </c>
      <c r="I230" s="38">
        <f>SUM(I216:I229)</f>
        <v>459358.78</v>
      </c>
      <c r="J230" s="38">
        <f>SUM(J216:J229)</f>
        <v>78599.819999999992</v>
      </c>
      <c r="K230" s="38">
        <f t="shared" si="3"/>
        <v>33837.359999999993</v>
      </c>
      <c r="L230" s="38">
        <f t="shared" si="3"/>
        <v>8835275.3530000001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4753293.72</v>
      </c>
      <c r="G234" s="18">
        <v>2513860.41</v>
      </c>
      <c r="H234" s="18">
        <v>40093.040000000001</v>
      </c>
      <c r="I234" s="18">
        <v>204950.96</v>
      </c>
      <c r="J234" s="18">
        <v>61057.49</v>
      </c>
      <c r="K234" s="18">
        <v>13883</v>
      </c>
      <c r="L234" s="13">
        <f>SUM(F234:K234)</f>
        <v>7587138.6200000001</v>
      </c>
      <c r="M234" s="8"/>
      <c r="N234" s="164"/>
    </row>
    <row r="235" spans="1:14" s="3" customFormat="1" ht="12.2" customHeight="1" x14ac:dyDescent="0.15">
      <c r="A235" s="1" t="s">
        <v>439</v>
      </c>
      <c r="B235" s="2" t="s">
        <v>350</v>
      </c>
      <c r="C235" s="2" t="s">
        <v>291</v>
      </c>
      <c r="D235" s="2" t="s">
        <v>431</v>
      </c>
      <c r="E235" s="6">
        <v>1200</v>
      </c>
      <c r="F235" s="18">
        <v>1319858.24</v>
      </c>
      <c r="G235" s="18">
        <v>698963.03</v>
      </c>
      <c r="H235" s="18">
        <v>1610612.28</v>
      </c>
      <c r="I235" s="18">
        <v>10168.84</v>
      </c>
      <c r="J235" s="18">
        <v>3664.46</v>
      </c>
      <c r="K235" s="18">
        <v>879.08</v>
      </c>
      <c r="L235" s="13">
        <f>SUM(F235:K235)</f>
        <v>3644145.9299999997</v>
      </c>
      <c r="M235" s="8"/>
      <c r="N235" s="164"/>
    </row>
    <row r="236" spans="1:14" s="3" customFormat="1" ht="12.2" customHeight="1" x14ac:dyDescent="0.15">
      <c r="A236" s="1" t="s">
        <v>440</v>
      </c>
      <c r="B236" s="2" t="s">
        <v>350</v>
      </c>
      <c r="C236" s="2" t="s">
        <v>292</v>
      </c>
      <c r="D236" s="2" t="s">
        <v>431</v>
      </c>
      <c r="E236" s="6">
        <v>1300</v>
      </c>
      <c r="F236" s="18">
        <v>47208</v>
      </c>
      <c r="G236" s="18">
        <v>24966.76</v>
      </c>
      <c r="H236" s="18">
        <v>298458</v>
      </c>
      <c r="I236" s="18">
        <v>20090.04</v>
      </c>
      <c r="J236" s="18">
        <v>9138.32</v>
      </c>
      <c r="K236" s="18"/>
      <c r="L236" s="13">
        <f>SUM(F236:K236)</f>
        <v>399861.12</v>
      </c>
      <c r="M236" s="8"/>
      <c r="N236" s="164"/>
    </row>
    <row r="237" spans="1:14" s="3" customFormat="1" ht="12.2" customHeight="1" x14ac:dyDescent="0.15">
      <c r="A237" s="1" t="s">
        <v>441</v>
      </c>
      <c r="B237" s="2" t="s">
        <v>350</v>
      </c>
      <c r="C237" s="2" t="s">
        <v>293</v>
      </c>
      <c r="D237" s="2" t="s">
        <v>431</v>
      </c>
      <c r="E237" s="6">
        <v>1400</v>
      </c>
      <c r="F237" s="18">
        <v>429782.3</v>
      </c>
      <c r="G237" s="18">
        <v>227297.7</v>
      </c>
      <c r="H237" s="18">
        <v>100193.15</v>
      </c>
      <c r="I237" s="18">
        <v>19899.43</v>
      </c>
      <c r="J237" s="18">
        <v>89958.14</v>
      </c>
      <c r="K237" s="18">
        <v>148083.95000000001</v>
      </c>
      <c r="L237" s="13">
        <f>SUM(F237:K237)</f>
        <v>1015214.6700000002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957331.6</v>
      </c>
      <c r="G239" s="18">
        <v>506301.14</v>
      </c>
      <c r="H239" s="18">
        <v>72022.539999999994</v>
      </c>
      <c r="I239" s="18">
        <v>15441.84</v>
      </c>
      <c r="J239" s="18">
        <v>8295.23</v>
      </c>
      <c r="K239" s="18">
        <v>802.15</v>
      </c>
      <c r="L239" s="13">
        <f t="shared" ref="L239:L245" si="4">SUM(F239:K239)</f>
        <v>1560194.5</v>
      </c>
      <c r="M239" s="8"/>
      <c r="N239" s="164"/>
    </row>
    <row r="240" spans="1:14" s="3" customFormat="1" ht="12.2" customHeight="1" x14ac:dyDescent="0.15">
      <c r="A240" s="1" t="s">
        <v>443</v>
      </c>
      <c r="B240" s="2" t="s">
        <v>350</v>
      </c>
      <c r="C240" s="2" t="s">
        <v>295</v>
      </c>
      <c r="D240" s="2" t="s">
        <v>431</v>
      </c>
      <c r="E240" s="6">
        <v>2200</v>
      </c>
      <c r="F240" s="18">
        <v>339033.58</v>
      </c>
      <c r="G240" s="18">
        <v>212214.92</v>
      </c>
      <c r="H240" s="18">
        <v>81326.95</v>
      </c>
      <c r="I240" s="18">
        <v>172381.56</v>
      </c>
      <c r="J240" s="18">
        <v>321694.03000000003</v>
      </c>
      <c r="K240" s="18">
        <v>996.43</v>
      </c>
      <c r="L240" s="13">
        <f t="shared" si="4"/>
        <v>1127647.47</v>
      </c>
      <c r="M240" s="8"/>
      <c r="N240" s="164"/>
    </row>
    <row r="241" spans="1:14" s="3" customFormat="1" ht="12.2" customHeight="1" x14ac:dyDescent="0.15">
      <c r="A241" s="1" t="s">
        <v>444</v>
      </c>
      <c r="B241" s="2" t="s">
        <v>350</v>
      </c>
      <c r="C241" s="2" t="s">
        <v>296</v>
      </c>
      <c r="D241" s="2" t="s">
        <v>431</v>
      </c>
      <c r="E241" s="6">
        <v>2300</v>
      </c>
      <c r="F241" s="18">
        <v>498014.97</v>
      </c>
      <c r="G241" s="18">
        <v>253107.79</v>
      </c>
      <c r="H241" s="18">
        <v>57501.81</v>
      </c>
      <c r="I241" s="18">
        <v>6428.64</v>
      </c>
      <c r="J241" s="18">
        <v>795.87</v>
      </c>
      <c r="K241" s="18">
        <v>19676.16</v>
      </c>
      <c r="L241" s="13">
        <f t="shared" si="4"/>
        <v>835525.24000000011</v>
      </c>
      <c r="M241" s="8"/>
      <c r="N241" s="164"/>
    </row>
    <row r="242" spans="1:14" s="3" customFormat="1" ht="12.2" customHeight="1" x14ac:dyDescent="0.15">
      <c r="A242" s="1" t="s">
        <v>445</v>
      </c>
      <c r="B242" s="2" t="s">
        <v>350</v>
      </c>
      <c r="C242" s="2" t="s">
        <v>297</v>
      </c>
      <c r="D242" s="2" t="s">
        <v>431</v>
      </c>
      <c r="E242" s="6">
        <v>2400</v>
      </c>
      <c r="F242" s="18">
        <v>506047.44</v>
      </c>
      <c r="G242" s="18">
        <v>265057.55</v>
      </c>
      <c r="H242" s="18">
        <v>55831.29</v>
      </c>
      <c r="I242" s="18">
        <v>2889.91</v>
      </c>
      <c r="J242" s="18">
        <v>1255.73</v>
      </c>
      <c r="K242" s="18">
        <v>59091.3</v>
      </c>
      <c r="L242" s="13">
        <f t="shared" si="4"/>
        <v>890173.22000000009</v>
      </c>
      <c r="M242" s="8"/>
      <c r="N242" s="164"/>
    </row>
    <row r="243" spans="1:14" s="3" customFormat="1" ht="12.2" customHeight="1" x14ac:dyDescent="0.15">
      <c r="A243" s="1" t="s">
        <v>446</v>
      </c>
      <c r="B243" s="2" t="s">
        <v>350</v>
      </c>
      <c r="C243" s="2" t="s">
        <v>298</v>
      </c>
      <c r="D243" s="2" t="s">
        <v>431</v>
      </c>
      <c r="E243" s="6">
        <v>2500</v>
      </c>
      <c r="F243" s="18">
        <v>188865.41</v>
      </c>
      <c r="G243" s="18">
        <v>99884.69</v>
      </c>
      <c r="H243" s="18">
        <v>49327.29</v>
      </c>
      <c r="I243" s="18">
        <v>2022.77</v>
      </c>
      <c r="J243" s="18"/>
      <c r="K243" s="18">
        <v>4060.98</v>
      </c>
      <c r="L243" s="13">
        <f t="shared" si="4"/>
        <v>344161.13999999996</v>
      </c>
      <c r="M243" s="8"/>
      <c r="N243" s="164"/>
    </row>
    <row r="244" spans="1:14" s="3" customFormat="1" ht="12.2" customHeight="1" x14ac:dyDescent="0.15">
      <c r="A244" s="1" t="s">
        <v>447</v>
      </c>
      <c r="B244" s="2" t="s">
        <v>350</v>
      </c>
      <c r="C244" s="2" t="s">
        <v>299</v>
      </c>
      <c r="D244" s="2" t="s">
        <v>431</v>
      </c>
      <c r="E244" s="6">
        <v>2600</v>
      </c>
      <c r="F244" s="18">
        <v>547071.75</v>
      </c>
      <c r="G244" s="18">
        <v>289328.21999999997</v>
      </c>
      <c r="H244" s="18">
        <v>445564.23</v>
      </c>
      <c r="I244" s="18">
        <v>407670.2</v>
      </c>
      <c r="J244" s="18">
        <v>72925.95</v>
      </c>
      <c r="K244" s="18"/>
      <c r="L244" s="13">
        <f t="shared" si="4"/>
        <v>1762560.3499999999</v>
      </c>
      <c r="M244" s="8"/>
      <c r="N244" s="164"/>
    </row>
    <row r="245" spans="1:14" s="3" customFormat="1" ht="12.2" customHeight="1" x14ac:dyDescent="0.15">
      <c r="A245" s="1" t="s">
        <v>448</v>
      </c>
      <c r="B245" s="2" t="s">
        <v>350</v>
      </c>
      <c r="C245" s="2" t="s">
        <v>300</v>
      </c>
      <c r="D245" s="2" t="s">
        <v>431</v>
      </c>
      <c r="E245" s="6">
        <v>2700</v>
      </c>
      <c r="F245" s="18"/>
      <c r="G245" s="18"/>
      <c r="H245" s="18">
        <v>1385018.53</v>
      </c>
      <c r="I245" s="18"/>
      <c r="J245" s="18"/>
      <c r="K245" s="18"/>
      <c r="L245" s="13">
        <f t="shared" si="4"/>
        <v>1385018.53</v>
      </c>
      <c r="M245" s="8"/>
      <c r="N245" s="164"/>
    </row>
    <row r="246" spans="1:14" s="3" customFormat="1" ht="12.2" customHeight="1" x14ac:dyDescent="0.15">
      <c r="A246" s="1" t="s">
        <v>449</v>
      </c>
      <c r="B246" s="2" t="s">
        <v>350</v>
      </c>
      <c r="C246" s="2" t="s">
        <v>343</v>
      </c>
      <c r="D246" s="2" t="s">
        <v>431</v>
      </c>
      <c r="E246" s="6">
        <v>2800</v>
      </c>
      <c r="F246" s="18"/>
      <c r="G246" s="18"/>
      <c r="H246" s="18">
        <v>3272.36</v>
      </c>
      <c r="I246" s="18"/>
      <c r="J246" s="18"/>
      <c r="K246" s="18"/>
      <c r="L246" s="13">
        <f>SUM(F246:K246)</f>
        <v>3272.36</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9586507.0099999998</v>
      </c>
      <c r="G248" s="38">
        <f t="shared" si="5"/>
        <v>5090982.21</v>
      </c>
      <c r="H248" s="38">
        <f t="shared" si="5"/>
        <v>4199221.4700000007</v>
      </c>
      <c r="I248" s="38">
        <f t="shared" si="5"/>
        <v>861944.19</v>
      </c>
      <c r="J248" s="38">
        <f t="shared" si="5"/>
        <v>568785.22</v>
      </c>
      <c r="K248" s="38">
        <f t="shared" si="5"/>
        <v>247473.05000000002</v>
      </c>
      <c r="L248" s="38">
        <f t="shared" si="5"/>
        <v>20554913.150000002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890576.48</v>
      </c>
      <c r="I256" s="18"/>
      <c r="J256" s="18"/>
      <c r="K256" s="18"/>
      <c r="L256" s="13">
        <f t="shared" si="6"/>
        <v>890576.48</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890576.48</v>
      </c>
      <c r="I257" s="38">
        <f t="shared" si="7"/>
        <v>0</v>
      </c>
      <c r="J257" s="38">
        <f t="shared" si="7"/>
        <v>0</v>
      </c>
      <c r="K257" s="38">
        <f t="shared" si="7"/>
        <v>0</v>
      </c>
      <c r="L257" s="38">
        <f>SUM(F257:K257)</f>
        <v>890576.48</v>
      </c>
      <c r="M257" s="8"/>
      <c r="N257" s="164"/>
    </row>
    <row r="258" spans="1:14" s="3" customFormat="1" ht="12.2" customHeight="1" thickTop="1" x14ac:dyDescent="0.15">
      <c r="A258" s="35" t="s">
        <v>462</v>
      </c>
      <c r="B258" s="37">
        <v>10</v>
      </c>
      <c r="C258" s="37">
        <v>8</v>
      </c>
      <c r="D258" s="36" t="s">
        <v>431</v>
      </c>
      <c r="E258" s="37"/>
      <c r="F258" s="38">
        <f t="shared" ref="F258:L258" si="8">F212+F230+F248+F257</f>
        <v>27823495.843000002</v>
      </c>
      <c r="G258" s="38">
        <f t="shared" si="8"/>
        <v>14459704.91</v>
      </c>
      <c r="H258" s="38">
        <f t="shared" si="8"/>
        <v>11284341.960000001</v>
      </c>
      <c r="I258" s="38">
        <f t="shared" si="8"/>
        <v>2614060.6800000002</v>
      </c>
      <c r="J258" s="38">
        <f t="shared" si="8"/>
        <v>831672.28</v>
      </c>
      <c r="K258" s="38">
        <f t="shared" si="8"/>
        <v>341231.44</v>
      </c>
      <c r="L258" s="38">
        <f t="shared" si="8"/>
        <v>57354507.112999998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3400000</v>
      </c>
      <c r="L261" s="13">
        <f>SUM(F261:K261)</f>
        <v>3400000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1214650</v>
      </c>
      <c r="L262" s="13">
        <f>SUM(F262:K262)</f>
        <v>1214650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675000</v>
      </c>
      <c r="L267" s="13">
        <f t="shared" si="9"/>
        <v>675000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5289650</v>
      </c>
      <c r="L271" s="38">
        <f t="shared" si="9"/>
        <v>5289650</v>
      </c>
      <c r="M271" s="8"/>
      <c r="N271" s="164"/>
    </row>
    <row r="272" spans="1:14" s="33" customFormat="1" ht="12.2" customHeight="1" thickTop="1" x14ac:dyDescent="0.2">
      <c r="A272" s="40" t="s">
        <v>464</v>
      </c>
      <c r="B272" s="37">
        <v>10</v>
      </c>
      <c r="C272" s="37">
        <v>18</v>
      </c>
      <c r="D272" s="36" t="s">
        <v>431</v>
      </c>
      <c r="E272" s="37"/>
      <c r="F272" s="39">
        <f t="shared" ref="F272:L272" si="11">F258+F271</f>
        <v>27823495.843000002</v>
      </c>
      <c r="G272" s="39">
        <f t="shared" si="11"/>
        <v>14459704.91</v>
      </c>
      <c r="H272" s="39">
        <f t="shared" si="11"/>
        <v>11284341.960000001</v>
      </c>
      <c r="I272" s="39">
        <f t="shared" si="11"/>
        <v>2614060.6800000002</v>
      </c>
      <c r="J272" s="39">
        <f t="shared" si="11"/>
        <v>831672.28</v>
      </c>
      <c r="K272" s="39">
        <f t="shared" si="11"/>
        <v>5630881.4400000004</v>
      </c>
      <c r="L272" s="39">
        <f t="shared" si="11"/>
        <v>62644157.112999998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41460+9761.54</f>
        <v>51221.54</v>
      </c>
      <c r="G277" s="18">
        <f>4055.5+1995.65</f>
        <v>6051.15</v>
      </c>
      <c r="H277" s="18">
        <v>0</v>
      </c>
      <c r="I277" s="18">
        <f>844.48+5426.77</f>
        <v>6271.25</v>
      </c>
      <c r="J277" s="18">
        <v>4723.76</v>
      </c>
      <c r="K277" s="18">
        <v>100</v>
      </c>
      <c r="L277" s="13">
        <f>SUM(F277:K277)</f>
        <v>68367.7</v>
      </c>
      <c r="M277" s="8"/>
      <c r="N277" s="164"/>
    </row>
    <row r="278" spans="1:14" s="3" customFormat="1" ht="12.2" customHeight="1" x14ac:dyDescent="0.15">
      <c r="A278" s="1" t="s">
        <v>439</v>
      </c>
      <c r="B278" s="2" t="s">
        <v>357</v>
      </c>
      <c r="C278" s="2" t="s">
        <v>291</v>
      </c>
      <c r="D278" s="2" t="s">
        <v>431</v>
      </c>
      <c r="E278" s="6">
        <v>1200</v>
      </c>
      <c r="F278" s="18">
        <v>253691.56</v>
      </c>
      <c r="G278" s="18">
        <v>130883.01</v>
      </c>
      <c r="H278" s="18">
        <v>2363.8000000000002</v>
      </c>
      <c r="I278" s="18">
        <v>8919.92</v>
      </c>
      <c r="J278" s="18">
        <v>0</v>
      </c>
      <c r="K278" s="18">
        <v>51.92</v>
      </c>
      <c r="L278" s="13">
        <f>SUM(F278:K278)</f>
        <v>395910.20999999996</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65138.06</v>
      </c>
      <c r="G280" s="18">
        <f>857.45+11557.33</f>
        <v>12414.78</v>
      </c>
      <c r="H280" s="18">
        <v>0</v>
      </c>
      <c r="I280" s="18">
        <v>5901.21</v>
      </c>
      <c r="J280" s="18">
        <v>0</v>
      </c>
      <c r="K280" s="18">
        <v>582</v>
      </c>
      <c r="L280" s="13">
        <f>SUM(F280:K280)</f>
        <v>84036.05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424</v>
      </c>
      <c r="I282" s="18">
        <f>984.22+2088.83</f>
        <v>3073.05</v>
      </c>
      <c r="J282" s="18">
        <v>0</v>
      </c>
      <c r="K282" s="18">
        <v>0</v>
      </c>
      <c r="L282" s="13">
        <f t="shared" ref="L282:L288" si="12">SUM(F282:K282)</f>
        <v>3497.05</v>
      </c>
      <c r="M282" s="8"/>
      <c r="N282" s="164"/>
    </row>
    <row r="283" spans="1:14" s="3" customFormat="1" ht="12.2" customHeight="1" x14ac:dyDescent="0.15">
      <c r="A283" s="1" t="s">
        <v>443</v>
      </c>
      <c r="B283" s="2" t="s">
        <v>357</v>
      </c>
      <c r="C283" s="2" t="s">
        <v>295</v>
      </c>
      <c r="D283" s="2" t="s">
        <v>431</v>
      </c>
      <c r="E283" s="6">
        <v>2200</v>
      </c>
      <c r="F283" s="18">
        <v>0</v>
      </c>
      <c r="G283" s="18">
        <v>596.22</v>
      </c>
      <c r="H283" s="18">
        <f>28651.4+34816.54</f>
        <v>63467.94</v>
      </c>
      <c r="I283" s="18">
        <f>19466.21+556.5</f>
        <v>20022.71</v>
      </c>
      <c r="J283" s="18">
        <v>31527.05</v>
      </c>
      <c r="K283" s="18">
        <v>0</v>
      </c>
      <c r="L283" s="13">
        <f t="shared" si="12"/>
        <v>115613.92</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3032.16</v>
      </c>
      <c r="J285" s="18">
        <v>0</v>
      </c>
      <c r="K285" s="18">
        <v>0</v>
      </c>
      <c r="L285" s="13">
        <f t="shared" si="12"/>
        <v>3032.16</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60357</v>
      </c>
      <c r="K287" s="18">
        <v>0</v>
      </c>
      <c r="L287" s="13">
        <f t="shared" si="12"/>
        <v>60357</v>
      </c>
      <c r="M287" s="8"/>
      <c r="N287" s="164"/>
    </row>
    <row r="288" spans="1:14" s="3" customFormat="1" ht="12.2" customHeight="1" x14ac:dyDescent="0.15">
      <c r="A288" s="1" t="s">
        <v>448</v>
      </c>
      <c r="B288" s="2" t="s">
        <v>357</v>
      </c>
      <c r="C288" s="2" t="s">
        <v>300</v>
      </c>
      <c r="D288" s="2" t="s">
        <v>431</v>
      </c>
      <c r="E288" s="6">
        <v>2700</v>
      </c>
      <c r="F288" s="18">
        <v>0</v>
      </c>
      <c r="G288" s="18">
        <v>0</v>
      </c>
      <c r="H288" s="18">
        <v>405.45</v>
      </c>
      <c r="I288" s="18">
        <v>0</v>
      </c>
      <c r="J288" s="18">
        <v>0</v>
      </c>
      <c r="K288" s="18">
        <v>0</v>
      </c>
      <c r="L288" s="13">
        <f t="shared" si="12"/>
        <v>405.45</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370051.16</v>
      </c>
      <c r="G291" s="39">
        <f t="shared" si="13"/>
        <v>149945.16</v>
      </c>
      <c r="H291" s="39">
        <f t="shared" si="13"/>
        <v>66661.19</v>
      </c>
      <c r="I291" s="39">
        <f t="shared" si="13"/>
        <v>47220.3</v>
      </c>
      <c r="J291" s="39">
        <f t="shared" si="13"/>
        <v>96607.81</v>
      </c>
      <c r="K291" s="39">
        <f t="shared" si="13"/>
        <v>733.92000000000007</v>
      </c>
      <c r="L291" s="38">
        <f t="shared" si="13"/>
        <v>731219.54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2578.52</v>
      </c>
      <c r="G296" s="18">
        <v>527.15</v>
      </c>
      <c r="H296" s="18">
        <v>0</v>
      </c>
      <c r="I296" s="18">
        <f>1431.43+1433.49</f>
        <v>2864.92</v>
      </c>
      <c r="J296" s="18">
        <v>0</v>
      </c>
      <c r="K296" s="18">
        <v>781.27</v>
      </c>
      <c r="L296" s="13">
        <f>SUM(F296:K296)</f>
        <v>6751.8600000000006</v>
      </c>
      <c r="M296" s="8"/>
      <c r="N296" s="164"/>
    </row>
    <row r="297" spans="1:14" s="3" customFormat="1" ht="12.2" customHeight="1" x14ac:dyDescent="0.15">
      <c r="A297" s="1" t="s">
        <v>439</v>
      </c>
      <c r="B297" s="2" t="s">
        <v>358</v>
      </c>
      <c r="C297" s="2" t="s">
        <v>291</v>
      </c>
      <c r="D297" s="2" t="s">
        <v>431</v>
      </c>
      <c r="E297" s="6">
        <v>1200</v>
      </c>
      <c r="F297" s="18">
        <v>59693</v>
      </c>
      <c r="G297" s="18">
        <v>44445.26</v>
      </c>
      <c r="H297" s="18">
        <v>624.4</v>
      </c>
      <c r="I297" s="18">
        <v>0</v>
      </c>
      <c r="J297" s="18">
        <v>0</v>
      </c>
      <c r="K297" s="18">
        <v>0</v>
      </c>
      <c r="L297" s="13">
        <f>SUM(F297:K297)</f>
        <v>104762.66</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17206.28</v>
      </c>
      <c r="G299" s="18">
        <v>7704.89</v>
      </c>
      <c r="H299" s="18">
        <v>5800</v>
      </c>
      <c r="I299" s="18">
        <v>1558.81</v>
      </c>
      <c r="J299" s="18">
        <v>0</v>
      </c>
      <c r="K299" s="18">
        <v>270</v>
      </c>
      <c r="L299" s="13">
        <f>SUM(F299:K299)</f>
        <v>32539.98</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112</v>
      </c>
      <c r="I301" s="18">
        <v>551.77</v>
      </c>
      <c r="J301" s="18">
        <v>0</v>
      </c>
      <c r="K301" s="18">
        <v>0</v>
      </c>
      <c r="L301" s="13">
        <f t="shared" ref="L301:L307" si="14">SUM(F301:K301)</f>
        <v>663.77</v>
      </c>
      <c r="M301" s="8"/>
      <c r="N301" s="164"/>
    </row>
    <row r="302" spans="1:14" s="3" customFormat="1" ht="12.2" customHeight="1" x14ac:dyDescent="0.15">
      <c r="A302" s="1" t="s">
        <v>443</v>
      </c>
      <c r="B302" s="2" t="s">
        <v>358</v>
      </c>
      <c r="C302" s="2" t="s">
        <v>295</v>
      </c>
      <c r="D302" s="2" t="s">
        <v>431</v>
      </c>
      <c r="E302" s="6">
        <v>2200</v>
      </c>
      <c r="F302" s="18">
        <v>0</v>
      </c>
      <c r="G302" s="18">
        <v>157.49</v>
      </c>
      <c r="H302" s="18">
        <f>1736.51+9196.82</f>
        <v>10933.33</v>
      </c>
      <c r="I302" s="18">
        <f>1936+147</f>
        <v>2083</v>
      </c>
      <c r="J302" s="18">
        <v>8327.9</v>
      </c>
      <c r="K302" s="18">
        <v>0</v>
      </c>
      <c r="L302" s="13">
        <f t="shared" si="14"/>
        <v>21501.72</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365.32</v>
      </c>
      <c r="J304" s="18">
        <v>0</v>
      </c>
      <c r="K304" s="18">
        <v>0</v>
      </c>
      <c r="L304" s="13">
        <f t="shared" si="14"/>
        <v>365.32</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19437.5</v>
      </c>
      <c r="I306" s="18">
        <v>0</v>
      </c>
      <c r="J306" s="18">
        <f>13146+6601</f>
        <v>19747</v>
      </c>
      <c r="K306" s="18">
        <v>0</v>
      </c>
      <c r="L306" s="13">
        <f t="shared" si="14"/>
        <v>39184.5</v>
      </c>
      <c r="M306" s="8"/>
      <c r="N306" s="164"/>
    </row>
    <row r="307" spans="1:14" s="3" customFormat="1" ht="12.2" customHeight="1" x14ac:dyDescent="0.15">
      <c r="A307" s="1" t="s">
        <v>448</v>
      </c>
      <c r="B307" s="2" t="s">
        <v>358</v>
      </c>
      <c r="C307" s="2" t="s">
        <v>300</v>
      </c>
      <c r="D307" s="2" t="s">
        <v>431</v>
      </c>
      <c r="E307" s="6">
        <v>2700</v>
      </c>
      <c r="F307" s="18">
        <v>0</v>
      </c>
      <c r="G307" s="18">
        <v>0</v>
      </c>
      <c r="H307" s="18">
        <v>107.1</v>
      </c>
      <c r="I307" s="18">
        <v>0</v>
      </c>
      <c r="J307" s="18">
        <v>0</v>
      </c>
      <c r="K307" s="18">
        <v>0</v>
      </c>
      <c r="L307" s="13">
        <f t="shared" si="14"/>
        <v>107.1</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79477.799999999988</v>
      </c>
      <c r="G310" s="39">
        <f t="shared" si="15"/>
        <v>52834.79</v>
      </c>
      <c r="H310" s="39">
        <f t="shared" si="15"/>
        <v>37014.329999999994</v>
      </c>
      <c r="I310" s="39">
        <f t="shared" si="15"/>
        <v>7423.82</v>
      </c>
      <c r="J310" s="39">
        <f t="shared" si="15"/>
        <v>28074.9</v>
      </c>
      <c r="K310" s="39">
        <f t="shared" si="15"/>
        <v>1051.27</v>
      </c>
      <c r="L310" s="38">
        <f t="shared" si="15"/>
        <v>205876.91</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6077.94</v>
      </c>
      <c r="G315" s="18">
        <v>1242.58</v>
      </c>
      <c r="H315" s="18">
        <v>346.12</v>
      </c>
      <c r="I315" s="18">
        <f>37098.41+3378.93</f>
        <v>40477.340000000004</v>
      </c>
      <c r="J315" s="18">
        <v>0</v>
      </c>
      <c r="K315" s="18">
        <v>5899.94</v>
      </c>
      <c r="L315" s="13">
        <f>SUM(F315:K315)</f>
        <v>54043.920000000006</v>
      </c>
      <c r="M315" s="8"/>
      <c r="N315" s="164"/>
    </row>
    <row r="316" spans="1:14" s="3" customFormat="1" ht="12.2" customHeight="1" x14ac:dyDescent="0.15">
      <c r="A316" s="1" t="s">
        <v>439</v>
      </c>
      <c r="B316" s="2" t="s">
        <v>359</v>
      </c>
      <c r="C316" s="2" t="s">
        <v>291</v>
      </c>
      <c r="D316" s="2" t="s">
        <v>431</v>
      </c>
      <c r="E316" s="6">
        <v>1200</v>
      </c>
      <c r="F316" s="18">
        <v>76880</v>
      </c>
      <c r="G316" s="18">
        <v>48754.9</v>
      </c>
      <c r="H316" s="18">
        <v>1471.8</v>
      </c>
      <c r="I316" s="18">
        <v>0</v>
      </c>
      <c r="J316" s="18">
        <v>0</v>
      </c>
      <c r="K316" s="18">
        <v>0</v>
      </c>
      <c r="L316" s="13">
        <f>SUM(F316:K316)</f>
        <v>127106.7</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40557.660000000003</v>
      </c>
      <c r="G318" s="18">
        <f>1000+2847.91</f>
        <v>3847.91</v>
      </c>
      <c r="H318" s="18">
        <v>962.12</v>
      </c>
      <c r="I318" s="18">
        <f>16160.09+3674.34</f>
        <v>19834.43</v>
      </c>
      <c r="J318" s="18">
        <v>0</v>
      </c>
      <c r="K318" s="18">
        <v>5383.98</v>
      </c>
      <c r="L318" s="13">
        <f>SUM(F318:K318)</f>
        <v>70586.100000000006</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1271</v>
      </c>
      <c r="G320" s="18">
        <v>289.3</v>
      </c>
      <c r="H320" s="18">
        <f>5500+264</f>
        <v>5764</v>
      </c>
      <c r="I320" s="18">
        <v>1300.5899999999999</v>
      </c>
      <c r="J320" s="18">
        <v>0</v>
      </c>
      <c r="K320" s="18">
        <v>56932</v>
      </c>
      <c r="L320" s="13">
        <f t="shared" ref="L320:L326" si="16">SUM(F320:K320)</f>
        <v>65556.89</v>
      </c>
      <c r="M320" s="8"/>
      <c r="N320" s="164"/>
    </row>
    <row r="321" spans="1:14" s="3" customFormat="1" ht="12.2" customHeight="1" x14ac:dyDescent="0.15">
      <c r="A321" s="1" t="s">
        <v>443</v>
      </c>
      <c r="B321" s="2" t="s">
        <v>359</v>
      </c>
      <c r="C321" s="2" t="s">
        <v>295</v>
      </c>
      <c r="D321" s="2" t="s">
        <v>431</v>
      </c>
      <c r="E321" s="6">
        <v>2200</v>
      </c>
      <c r="F321" s="18">
        <v>0</v>
      </c>
      <c r="G321" s="18">
        <v>371.23</v>
      </c>
      <c r="H321" s="18">
        <v>21678.22</v>
      </c>
      <c r="I321" s="18">
        <v>346.5</v>
      </c>
      <c r="J321" s="18">
        <f>1555+19630.05</f>
        <v>21185.05</v>
      </c>
      <c r="K321" s="18">
        <v>0</v>
      </c>
      <c r="L321" s="13">
        <f t="shared" si="16"/>
        <v>43581</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1519.32</v>
      </c>
      <c r="J323" s="18">
        <v>0</v>
      </c>
      <c r="K323" s="18">
        <v>0</v>
      </c>
      <c r="L323" s="13">
        <f t="shared" si="16"/>
        <v>1519.32</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636.25</v>
      </c>
      <c r="J325" s="18">
        <v>19791</v>
      </c>
      <c r="K325" s="18">
        <v>0</v>
      </c>
      <c r="L325" s="13">
        <f t="shared" si="16"/>
        <v>20427.25</v>
      </c>
      <c r="M325" s="8"/>
      <c r="N325" s="164"/>
    </row>
    <row r="326" spans="1:14" s="3" customFormat="1" ht="12.2" customHeight="1" x14ac:dyDescent="0.15">
      <c r="A326" s="1" t="s">
        <v>448</v>
      </c>
      <c r="B326" s="2" t="s">
        <v>359</v>
      </c>
      <c r="C326" s="2" t="s">
        <v>300</v>
      </c>
      <c r="D326" s="2" t="s">
        <v>431</v>
      </c>
      <c r="E326" s="6">
        <v>2700</v>
      </c>
      <c r="F326" s="18">
        <v>0</v>
      </c>
      <c r="G326" s="18">
        <v>0</v>
      </c>
      <c r="H326" s="18">
        <v>252.45</v>
      </c>
      <c r="I326" s="18">
        <v>0</v>
      </c>
      <c r="J326" s="18">
        <v>0</v>
      </c>
      <c r="K326" s="18">
        <v>0</v>
      </c>
      <c r="L326" s="13">
        <f t="shared" si="16"/>
        <v>252.45</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124786.6</v>
      </c>
      <c r="G329" s="39">
        <f t="shared" si="17"/>
        <v>54505.920000000006</v>
      </c>
      <c r="H329" s="39">
        <f t="shared" si="17"/>
        <v>30474.710000000003</v>
      </c>
      <c r="I329" s="39">
        <f t="shared" si="17"/>
        <v>64114.43</v>
      </c>
      <c r="J329" s="39">
        <f t="shared" si="17"/>
        <v>40976.050000000003</v>
      </c>
      <c r="K329" s="39">
        <f t="shared" si="17"/>
        <v>68215.92</v>
      </c>
      <c r="L329" s="38">
        <f t="shared" si="17"/>
        <v>383073.63</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574315.55999999994</v>
      </c>
      <c r="G339" s="38">
        <f t="shared" si="20"/>
        <v>257285.87000000002</v>
      </c>
      <c r="H339" s="38">
        <f t="shared" si="20"/>
        <v>134150.22999999998</v>
      </c>
      <c r="I339" s="38">
        <f t="shared" si="20"/>
        <v>118758.55</v>
      </c>
      <c r="J339" s="38">
        <f t="shared" si="20"/>
        <v>165658.76</v>
      </c>
      <c r="K339" s="38">
        <f t="shared" si="20"/>
        <v>70001.11</v>
      </c>
      <c r="L339" s="38">
        <f t="shared" si="20"/>
        <v>1320170.08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574315.55999999994</v>
      </c>
      <c r="G353" s="38">
        <f>G339</f>
        <v>257285.87000000002</v>
      </c>
      <c r="H353" s="38">
        <f>H339</f>
        <v>134150.22999999998</v>
      </c>
      <c r="I353" s="38">
        <f>I339</f>
        <v>118758.55</v>
      </c>
      <c r="J353" s="38">
        <f>J339</f>
        <v>165658.76</v>
      </c>
      <c r="K353" s="38">
        <f>K339+K352</f>
        <v>70001.11</v>
      </c>
      <c r="L353" s="38">
        <f>L339+L352</f>
        <v>1320170.08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245849.35</v>
      </c>
      <c r="G359" s="18">
        <v>48557.82</v>
      </c>
      <c r="H359" s="18">
        <v>9327.76</v>
      </c>
      <c r="I359" s="18">
        <v>252343.04000000001</v>
      </c>
      <c r="J359" s="18">
        <v>26501.919999999998</v>
      </c>
      <c r="K359" s="18">
        <v>791</v>
      </c>
      <c r="L359" s="13">
        <f>SUM(F359:K359)</f>
        <v>583370.89</v>
      </c>
      <c r="M359" s="8"/>
      <c r="N359" s="164"/>
    </row>
    <row r="360" spans="1:22" s="3" customFormat="1" ht="12.2" customHeight="1" x14ac:dyDescent="0.15">
      <c r="A360" s="1" t="s">
        <v>542</v>
      </c>
      <c r="B360" s="2" t="s">
        <v>366</v>
      </c>
      <c r="C360" s="6">
        <v>2</v>
      </c>
      <c r="D360" s="2" t="s">
        <v>431</v>
      </c>
      <c r="E360" s="6"/>
      <c r="F360" s="18">
        <v>67443.25</v>
      </c>
      <c r="G360" s="18">
        <v>12636.98</v>
      </c>
      <c r="H360" s="18">
        <v>2066.5500000000002</v>
      </c>
      <c r="I360" s="18">
        <v>76330.95</v>
      </c>
      <c r="J360" s="18">
        <v>7000.51</v>
      </c>
      <c r="K360" s="18">
        <v>208.94</v>
      </c>
      <c r="L360" s="13">
        <f>SUM(F360:K360)</f>
        <v>165687.18</v>
      </c>
      <c r="M360" s="8"/>
      <c r="N360" s="164"/>
    </row>
    <row r="361" spans="1:22" s="3" customFormat="1" ht="12.2" customHeight="1" x14ac:dyDescent="0.15">
      <c r="A361" s="3" t="s">
        <v>543</v>
      </c>
      <c r="B361" s="2" t="s">
        <v>366</v>
      </c>
      <c r="C361" s="6">
        <v>3</v>
      </c>
      <c r="D361" s="2" t="s">
        <v>431</v>
      </c>
      <c r="E361" s="6"/>
      <c r="F361" s="18">
        <v>145504.35</v>
      </c>
      <c r="G361" s="18">
        <v>30492.33</v>
      </c>
      <c r="H361" s="18">
        <v>3467.59</v>
      </c>
      <c r="I361" s="18">
        <v>181721.86</v>
      </c>
      <c r="J361" s="18">
        <v>16501.189999999999</v>
      </c>
      <c r="K361" s="18">
        <v>492.51</v>
      </c>
      <c r="L361" s="13">
        <f>SUM(F361:K361)</f>
        <v>378179.83</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458796.94999999995</v>
      </c>
      <c r="G363" s="38">
        <f t="shared" si="22"/>
        <v>91687.13</v>
      </c>
      <c r="H363" s="38">
        <f t="shared" si="22"/>
        <v>14861.900000000001</v>
      </c>
      <c r="I363" s="38">
        <f t="shared" si="22"/>
        <v>510395.85</v>
      </c>
      <c r="J363" s="38">
        <f t="shared" si="22"/>
        <v>50003.619999999995</v>
      </c>
      <c r="K363" s="38">
        <f t="shared" si="22"/>
        <v>1492.45</v>
      </c>
      <c r="L363" s="38">
        <f t="shared" si="22"/>
        <v>1127237.9000000001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234435.44</v>
      </c>
      <c r="G368" s="18">
        <v>71288.649999999994</v>
      </c>
      <c r="H368" s="18">
        <v>167873.87</v>
      </c>
      <c r="I368" s="13">
        <f>SUM(F368:H368)</f>
        <v>473597.95999999996</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17907.599999999999</v>
      </c>
      <c r="G369" s="53">
        <v>5042.3</v>
      </c>
      <c r="H369" s="53">
        <v>13847.99</v>
      </c>
      <c r="I369" s="13">
        <f>SUM(F369:H369)</f>
        <v>36797.89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252343.04000000001</v>
      </c>
      <c r="G370" s="38">
        <f>SUM(G368:G369)</f>
        <v>76330.95</v>
      </c>
      <c r="H370" s="38">
        <f>SUM(H368:H369)</f>
        <v>181721.86</v>
      </c>
      <c r="I370" s="38">
        <f>SUM(I368:I369)</f>
        <v>510395.85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350000</v>
      </c>
      <c r="H397" s="18">
        <v>18684.29</v>
      </c>
      <c r="I397" s="18"/>
      <c r="J397" s="23" t="s">
        <v>288</v>
      </c>
      <c r="K397" s="23" t="s">
        <v>288</v>
      </c>
      <c r="L397" s="13">
        <f t="shared" si="26"/>
        <v>368684.29</v>
      </c>
      <c r="M397" s="8"/>
      <c r="N397" s="164"/>
    </row>
    <row r="398" spans="1:14" s="3" customFormat="1" ht="12.2" customHeight="1" x14ac:dyDescent="0.15">
      <c r="A398" s="62" t="s">
        <v>515</v>
      </c>
      <c r="B398" s="2" t="s">
        <v>381</v>
      </c>
      <c r="C398" s="6">
        <v>10</v>
      </c>
      <c r="D398" s="2" t="s">
        <v>432</v>
      </c>
      <c r="E398" s="6"/>
      <c r="F398" s="18"/>
      <c r="G398" s="18">
        <v>250000</v>
      </c>
      <c r="H398" s="18">
        <v>18595.3</v>
      </c>
      <c r="I398" s="18"/>
      <c r="J398" s="23" t="s">
        <v>288</v>
      </c>
      <c r="K398" s="23" t="s">
        <v>288</v>
      </c>
      <c r="L398" s="13">
        <f t="shared" si="26"/>
        <v>268595.3</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75000</v>
      </c>
      <c r="H400" s="18">
        <v>1236.44</v>
      </c>
      <c r="I400" s="18"/>
      <c r="J400" s="23" t="s">
        <v>288</v>
      </c>
      <c r="K400" s="23" t="s">
        <v>288</v>
      </c>
      <c r="L400" s="13">
        <f t="shared" si="26"/>
        <v>76236.44</v>
      </c>
      <c r="M400" s="8"/>
      <c r="N400" s="164"/>
    </row>
    <row r="401" spans="1:21" s="3" customFormat="1" ht="12.2" customHeight="1" thickBot="1" x14ac:dyDescent="0.2">
      <c r="A401" s="62" t="s">
        <v>510</v>
      </c>
      <c r="B401" s="2" t="s">
        <v>381</v>
      </c>
      <c r="C401" s="6">
        <v>13</v>
      </c>
      <c r="D401" s="2" t="s">
        <v>432</v>
      </c>
      <c r="E401" s="6"/>
      <c r="F401" s="18"/>
      <c r="G401" s="18"/>
      <c r="H401" s="18">
        <v>133.16999999999999</v>
      </c>
      <c r="I401" s="18"/>
      <c r="J401" s="23" t="s">
        <v>288</v>
      </c>
      <c r="K401" s="23" t="s">
        <v>288</v>
      </c>
      <c r="L401" s="13">
        <f t="shared" si="26"/>
        <v>133.16999999999999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675000</v>
      </c>
      <c r="H402" s="38">
        <f>SUM(H396:H401)</f>
        <v>38649.199999999997</v>
      </c>
      <c r="I402" s="38">
        <f>SUM(I396:I401)</f>
        <v>0</v>
      </c>
      <c r="J402" s="42" t="s">
        <v>288</v>
      </c>
      <c r="K402" s="42" t="s">
        <v>288</v>
      </c>
      <c r="L402" s="38">
        <f>SUM(L396:L401)</f>
        <v>713649.20000000007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675000</v>
      </c>
      <c r="H409" s="38">
        <f>H394+H402+H408</f>
        <v>38649.199999999997</v>
      </c>
      <c r="I409" s="38">
        <f>I394+I402+I408</f>
        <v>0</v>
      </c>
      <c r="J409" s="23" t="s">
        <v>288</v>
      </c>
      <c r="K409" s="23" t="s">
        <v>288</v>
      </c>
      <c r="L409" s="38">
        <f>L394+L402+L408</f>
        <v>713649.20000000007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705408.55</v>
      </c>
      <c r="I423" s="18"/>
      <c r="J423" s="18"/>
      <c r="K423" s="18"/>
      <c r="L423" s="13">
        <f t="shared" si="29"/>
        <v>705408.55</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1696.71</v>
      </c>
      <c r="I427" s="18"/>
      <c r="J427" s="18"/>
      <c r="K427" s="18"/>
      <c r="L427" s="13">
        <f t="shared" si="29"/>
        <v>1696.71</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707105.26</v>
      </c>
      <c r="I428" s="38">
        <f t="shared" si="30"/>
        <v>0</v>
      </c>
      <c r="J428" s="38">
        <f t="shared" si="30"/>
        <v>0</v>
      </c>
      <c r="K428" s="38">
        <f t="shared" si="30"/>
        <v>0</v>
      </c>
      <c r="L428" s="38">
        <f t="shared" si="30"/>
        <v>707105.26</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707105.26</v>
      </c>
      <c r="I435" s="38">
        <f t="shared" si="32"/>
        <v>0</v>
      </c>
      <c r="J435" s="38">
        <f t="shared" si="32"/>
        <v>0</v>
      </c>
      <c r="K435" s="38">
        <f t="shared" si="32"/>
        <v>0</v>
      </c>
      <c r="L435" s="38">
        <f t="shared" si="32"/>
        <v>707105.26</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1414455.21</v>
      </c>
      <c r="H441" s="18"/>
      <c r="I441" s="13">
        <f t="shared" si="33"/>
        <v>1414455.21</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1414455.21</v>
      </c>
      <c r="H447" s="13">
        <f>SUM(H440:H446)</f>
        <v>0</v>
      </c>
      <c r="I447" s="13">
        <f>SUM(I440:I446)</f>
        <v>1414455.21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1414455.21</v>
      </c>
      <c r="H460" s="18"/>
      <c r="I460" s="13">
        <f t="shared" si="34"/>
        <v>1414455.21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1414455.21</v>
      </c>
      <c r="H461" s="65">
        <f>SUM(H455:H460)</f>
        <v>0</v>
      </c>
      <c r="I461" s="65">
        <f>SUM(I455:I460)</f>
        <v>1414455.21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1414455.21</v>
      </c>
      <c r="H462" s="39">
        <f>H453+H461</f>
        <v>0</v>
      </c>
      <c r="I462" s="39">
        <f>I453+I461</f>
        <v>1414455.21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2363168.98</v>
      </c>
      <c r="G466" s="18">
        <v>590039.43000000005</v>
      </c>
      <c r="H466" s="18">
        <f>303356.14</f>
        <v>303356.14</v>
      </c>
      <c r="I466" s="18"/>
      <c r="J466" s="18">
        <v>1407911.27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62413275.700000003</v>
      </c>
      <c r="G469" s="18">
        <v>1115833.54</v>
      </c>
      <c r="H469" s="18">
        <v>1451784.7</v>
      </c>
      <c r="I469" s="18"/>
      <c r="J469" s="18">
        <v>713649.2</v>
      </c>
      <c r="K469" s="23" t="s">
        <v>288</v>
      </c>
      <c r="L469" s="23" t="s">
        <v>288</v>
      </c>
      <c r="N469" s="130"/>
    </row>
    <row r="470" spans="1:14" ht="12.2" customHeight="1" x14ac:dyDescent="0.2">
      <c r="A470" s="71" t="s">
        <v>611</v>
      </c>
      <c r="B470" s="22">
        <v>19</v>
      </c>
      <c r="C470" s="31">
        <v>3</v>
      </c>
      <c r="D470" s="2" t="s">
        <v>432</v>
      </c>
      <c r="E470" s="31"/>
      <c r="F470" s="18">
        <v>7848.72</v>
      </c>
      <c r="G470" s="18">
        <v>17780</v>
      </c>
      <c r="H470" s="18">
        <v>20223.990000000002</v>
      </c>
      <c r="I470" s="18"/>
      <c r="J470" s="18"/>
      <c r="K470" s="23" t="s">
        <v>288</v>
      </c>
      <c r="L470" s="23" t="s">
        <v>288</v>
      </c>
      <c r="N470" s="130"/>
    </row>
    <row r="471" spans="1:14" ht="12.2" customHeight="1" x14ac:dyDescent="0.2">
      <c r="A471" s="32" t="s">
        <v>425</v>
      </c>
      <c r="B471" s="22">
        <v>19</v>
      </c>
      <c r="C471" s="31">
        <v>4</v>
      </c>
      <c r="D471" s="2" t="s">
        <v>432</v>
      </c>
      <c r="E471" s="31"/>
      <c r="F471" s="19">
        <f>SUM(F469:F470)</f>
        <v>62421124.420000002</v>
      </c>
      <c r="G471" s="19">
        <f>SUM(G469:G470)</f>
        <v>1133613.54</v>
      </c>
      <c r="H471" s="19">
        <f>SUM(H469:H470)</f>
        <v>1472008.69</v>
      </c>
      <c r="I471" s="19">
        <f>SUM(I469:I470)</f>
        <v>0</v>
      </c>
      <c r="J471" s="19">
        <f>SUM(J469:J470)</f>
        <v>713649.2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62644157.109999999</v>
      </c>
      <c r="G473" s="18">
        <v>1127237.8999999999</v>
      </c>
      <c r="H473" s="18">
        <v>1320170.08</v>
      </c>
      <c r="I473" s="18"/>
      <c r="J473" s="18">
        <v>707105.26</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62644157.109999999</v>
      </c>
      <c r="G475" s="19">
        <f>SUM(G473:G474)</f>
        <v>1127237.8999999999</v>
      </c>
      <c r="H475" s="19">
        <f>SUM(H473:H474)</f>
        <v>1320170.08</v>
      </c>
      <c r="I475" s="19">
        <f>SUM(I473:I474)</f>
        <v>0</v>
      </c>
      <c r="J475" s="19">
        <f>SUM(J473:J474)</f>
        <v>707105.26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2140136.2899999991</v>
      </c>
      <c r="G477" s="19">
        <f>(G466+G471)- G475</f>
        <v>596415.0700000003</v>
      </c>
      <c r="H477" s="19">
        <f>(H466+H471)- H475</f>
        <v>455194.75</v>
      </c>
      <c r="I477" s="19">
        <f>(I466+I471)- I475</f>
        <v>0</v>
      </c>
      <c r="J477" s="19">
        <f>(J466+J471)- J475</f>
        <v>1414455.2099999997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f>11</f>
        <v>11</v>
      </c>
      <c r="G491" s="111">
        <v>20</v>
      </c>
      <c r="H491" s="111"/>
      <c r="I491" s="111"/>
      <c r="J491" s="111"/>
      <c r="K491" s="23" t="s">
        <v>288</v>
      </c>
      <c r="L491" s="23" t="s">
        <v>288</v>
      </c>
      <c r="N491" s="130"/>
    </row>
    <row r="492" spans="1:14" ht="12.2" customHeight="1" x14ac:dyDescent="0.2">
      <c r="A492" s="21" t="s">
        <v>615</v>
      </c>
      <c r="B492" s="22">
        <v>20</v>
      </c>
      <c r="C492" s="22">
        <v>2</v>
      </c>
      <c r="D492" s="2" t="s">
        <v>432</v>
      </c>
      <c r="E492" s="22"/>
      <c r="F492" s="112" t="s">
        <v>1843</v>
      </c>
      <c r="G492" s="112" t="s">
        <v>1844</v>
      </c>
      <c r="H492" s="111"/>
      <c r="I492" s="111"/>
      <c r="J492" s="111"/>
      <c r="K492" s="23" t="s">
        <v>288</v>
      </c>
      <c r="L492" s="23" t="s">
        <v>288</v>
      </c>
      <c r="N492" s="130"/>
    </row>
    <row r="493" spans="1:14" ht="12.2" customHeight="1" x14ac:dyDescent="0.2">
      <c r="A493" s="21" t="s">
        <v>616</v>
      </c>
      <c r="B493" s="22">
        <v>20</v>
      </c>
      <c r="C493" s="22">
        <v>3</v>
      </c>
      <c r="D493" s="2" t="s">
        <v>432</v>
      </c>
      <c r="E493" s="22"/>
      <c r="F493" s="112" t="s">
        <v>1845</v>
      </c>
      <c r="G493" s="112" t="s">
        <v>1846</v>
      </c>
      <c r="H493" s="111"/>
      <c r="I493" s="111"/>
      <c r="J493" s="111"/>
      <c r="K493" s="23" t="s">
        <v>288</v>
      </c>
      <c r="L493" s="23" t="s">
        <v>288</v>
      </c>
      <c r="N493" s="130"/>
    </row>
    <row r="494" spans="1:14" ht="12.2" customHeight="1" x14ac:dyDescent="0.2">
      <c r="A494" s="21" t="s">
        <v>617</v>
      </c>
      <c r="B494" s="22">
        <v>20</v>
      </c>
      <c r="C494" s="22">
        <v>4</v>
      </c>
      <c r="D494" s="2" t="s">
        <v>432</v>
      </c>
      <c r="E494" s="22"/>
      <c r="F494" s="18">
        <v>19305000</v>
      </c>
      <c r="G494" s="18">
        <v>38107102</v>
      </c>
      <c r="H494" s="18"/>
      <c r="I494" s="18"/>
      <c r="J494" s="18"/>
      <c r="K494" s="23" t="s">
        <v>288</v>
      </c>
      <c r="L494" s="23" t="s">
        <v>288</v>
      </c>
      <c r="N494" s="130"/>
    </row>
    <row r="495" spans="1:14" ht="12.2" customHeight="1" x14ac:dyDescent="0.2">
      <c r="A495" s="21" t="s">
        <v>618</v>
      </c>
      <c r="B495" s="22">
        <v>20</v>
      </c>
      <c r="C495" s="22">
        <v>5</v>
      </c>
      <c r="D495" s="2" t="s">
        <v>432</v>
      </c>
      <c r="E495" s="22"/>
      <c r="F495" s="18">
        <v>3</v>
      </c>
      <c r="G495" s="18">
        <v>5.0999999999999996</v>
      </c>
      <c r="H495" s="18"/>
      <c r="I495" s="18"/>
      <c r="J495" s="18"/>
      <c r="K495" s="23" t="s">
        <v>288</v>
      </c>
      <c r="L495" s="23" t="s">
        <v>288</v>
      </c>
      <c r="N495" s="130"/>
    </row>
    <row r="496" spans="1:14" ht="12.2" customHeight="1" x14ac:dyDescent="0.2">
      <c r="A496" s="21" t="s">
        <v>619</v>
      </c>
      <c r="B496" s="22">
        <v>20</v>
      </c>
      <c r="C496" s="22">
        <v>6</v>
      </c>
      <c r="D496" s="2" t="s">
        <v>432</v>
      </c>
      <c r="E496" s="22"/>
      <c r="F496" s="18">
        <v>5100000</v>
      </c>
      <c r="G496" s="18">
        <v>25500000</v>
      </c>
      <c r="H496" s="18"/>
      <c r="I496" s="18"/>
      <c r="J496" s="18"/>
      <c r="K496" s="19">
        <f>SUM(F496:J496)</f>
        <v>30600000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1700000</v>
      </c>
      <c r="G498" s="18">
        <v>1700000</v>
      </c>
      <c r="H498" s="18"/>
      <c r="I498" s="18"/>
      <c r="J498" s="18"/>
      <c r="K498" s="19">
        <f t="shared" si="35"/>
        <v>3400000</v>
      </c>
      <c r="L498" s="23" t="s">
        <v>288</v>
      </c>
      <c r="N498" s="130"/>
    </row>
    <row r="499" spans="1:14" ht="12.2" customHeight="1" x14ac:dyDescent="0.2">
      <c r="A499" s="143" t="s">
        <v>622</v>
      </c>
      <c r="B499" s="144">
        <v>20</v>
      </c>
      <c r="C499" s="144">
        <v>9</v>
      </c>
      <c r="D499" s="145" t="s">
        <v>432</v>
      </c>
      <c r="E499" s="144"/>
      <c r="F499" s="146">
        <v>3400000</v>
      </c>
      <c r="G499" s="146">
        <v>23800000</v>
      </c>
      <c r="H499" s="146"/>
      <c r="I499" s="146"/>
      <c r="J499" s="146"/>
      <c r="K499" s="147">
        <f t="shared" si="35"/>
        <v>27200000</v>
      </c>
      <c r="L499" s="148" t="s">
        <v>288</v>
      </c>
      <c r="N499" s="130"/>
    </row>
    <row r="500" spans="1:14" ht="12.2" customHeight="1" thickBot="1" x14ac:dyDescent="0.25">
      <c r="A500" s="21" t="s">
        <v>623</v>
      </c>
      <c r="B500" s="22">
        <v>20</v>
      </c>
      <c r="C500" s="22">
        <v>10</v>
      </c>
      <c r="D500" s="2" t="s">
        <v>432</v>
      </c>
      <c r="E500" s="22"/>
      <c r="F500" s="18">
        <v>170000</v>
      </c>
      <c r="G500" s="18">
        <v>6065600</v>
      </c>
      <c r="H500" s="18"/>
      <c r="I500" s="18"/>
      <c r="J500" s="18"/>
      <c r="K500" s="19">
        <f t="shared" si="35"/>
        <v>6235600</v>
      </c>
      <c r="L500" s="23" t="s">
        <v>288</v>
      </c>
      <c r="N500" s="130"/>
    </row>
    <row r="501" spans="1:14" ht="12.2" customHeight="1" thickTop="1" x14ac:dyDescent="0.2">
      <c r="A501" s="97" t="s">
        <v>624</v>
      </c>
      <c r="B501" s="41">
        <v>20</v>
      </c>
      <c r="C501" s="41">
        <v>11</v>
      </c>
      <c r="D501" s="36" t="s">
        <v>432</v>
      </c>
      <c r="E501" s="41"/>
      <c r="F501" s="39">
        <f>SUM(F499:F500)</f>
        <v>3570000</v>
      </c>
      <c r="G501" s="39">
        <f>SUM(G499:G500)</f>
        <v>29865600</v>
      </c>
      <c r="H501" s="39">
        <f>SUM(H499:H500)</f>
        <v>0</v>
      </c>
      <c r="I501" s="39">
        <f>SUM(I499:I500)</f>
        <v>0</v>
      </c>
      <c r="J501" s="39">
        <f>SUM(J499:J500)</f>
        <v>0</v>
      </c>
      <c r="K501" s="39">
        <f t="shared" si="35"/>
        <v>33435600</v>
      </c>
      <c r="L501" s="42" t="s">
        <v>288</v>
      </c>
      <c r="N501" s="130"/>
    </row>
    <row r="502" spans="1:14" ht="12.2" customHeight="1" x14ac:dyDescent="0.2">
      <c r="A502" s="143" t="s">
        <v>651</v>
      </c>
      <c r="B502" s="144">
        <v>20</v>
      </c>
      <c r="C502" s="144">
        <v>12</v>
      </c>
      <c r="D502" s="145" t="s">
        <v>432</v>
      </c>
      <c r="E502" s="144"/>
      <c r="F502" s="146">
        <v>1700000</v>
      </c>
      <c r="G502" s="146">
        <v>1700000</v>
      </c>
      <c r="H502" s="146"/>
      <c r="I502" s="146"/>
      <c r="J502" s="146"/>
      <c r="K502" s="147">
        <f t="shared" si="35"/>
        <v>3400000</v>
      </c>
      <c r="L502" s="148" t="s">
        <v>288</v>
      </c>
      <c r="N502" s="130"/>
    </row>
    <row r="503" spans="1:14" ht="12.2" customHeight="1" thickBot="1" x14ac:dyDescent="0.25">
      <c r="A503" s="21" t="s">
        <v>625</v>
      </c>
      <c r="B503" s="22">
        <v>20</v>
      </c>
      <c r="C503" s="22">
        <v>13</v>
      </c>
      <c r="D503" s="2" t="s">
        <v>432</v>
      </c>
      <c r="E503" s="22"/>
      <c r="F503" s="18">
        <v>127500</v>
      </c>
      <c r="G503" s="18">
        <v>932450</v>
      </c>
      <c r="H503" s="18"/>
      <c r="I503" s="18"/>
      <c r="J503" s="18"/>
      <c r="K503" s="19">
        <f t="shared" si="35"/>
        <v>1059950</v>
      </c>
      <c r="L503" s="23" t="s">
        <v>288</v>
      </c>
      <c r="N503" s="130"/>
    </row>
    <row r="504" spans="1:14" ht="12.2" customHeight="1" thickTop="1" x14ac:dyDescent="0.2">
      <c r="A504" s="97" t="s">
        <v>626</v>
      </c>
      <c r="B504" s="41">
        <v>20</v>
      </c>
      <c r="C504" s="41">
        <v>14</v>
      </c>
      <c r="D504" s="36" t="s">
        <v>432</v>
      </c>
      <c r="E504" s="41"/>
      <c r="F504" s="39">
        <f>SUM(F502:F503)</f>
        <v>1827500</v>
      </c>
      <c r="G504" s="39">
        <f>SUM(G502:G503)</f>
        <v>2632450</v>
      </c>
      <c r="H504" s="39">
        <f>SUM(H502:H503)</f>
        <v>0</v>
      </c>
      <c r="I504" s="39">
        <f>SUM(I502:I503)</f>
        <v>0</v>
      </c>
      <c r="J504" s="39">
        <f>SUM(J502:J503)</f>
        <v>0</v>
      </c>
      <c r="K504" s="39">
        <f t="shared" si="35"/>
        <v>4459950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2360767.2799999998</v>
      </c>
      <c r="G522" s="18">
        <v>1477434.29</v>
      </c>
      <c r="H522" s="18">
        <v>1890988.88</v>
      </c>
      <c r="I522" s="18">
        <v>9727.14</v>
      </c>
      <c r="J522" s="18">
        <v>5840.12</v>
      </c>
      <c r="K522" s="18">
        <v>1411.86</v>
      </c>
      <c r="L522" s="69">
        <f>SUM(F522:K522)</f>
        <v>5746169.5699999994</v>
      </c>
      <c r="N522" s="130"/>
    </row>
    <row r="523" spans="1:14" ht="12.2" customHeight="1" x14ac:dyDescent="0.2">
      <c r="A523" s="21" t="s">
        <v>634</v>
      </c>
      <c r="B523" s="22">
        <v>21</v>
      </c>
      <c r="C523" s="22">
        <v>2</v>
      </c>
      <c r="D523" s="2" t="s">
        <v>432</v>
      </c>
      <c r="E523" s="22"/>
      <c r="F523" s="18">
        <v>542448.99</v>
      </c>
      <c r="G523" s="18">
        <v>358580.51</v>
      </c>
      <c r="H523" s="18">
        <v>449904.97</v>
      </c>
      <c r="I523" s="18">
        <v>7975.59</v>
      </c>
      <c r="J523" s="18">
        <v>6903.79</v>
      </c>
      <c r="K523" s="18">
        <v>372.94</v>
      </c>
      <c r="L523" s="69">
        <f>SUM(F523:K523)</f>
        <v>1366186.79</v>
      </c>
      <c r="N523" s="130"/>
    </row>
    <row r="524" spans="1:14" ht="12.2" customHeight="1" thickBot="1" x14ac:dyDescent="0.25">
      <c r="A524" s="21" t="s">
        <v>635</v>
      </c>
      <c r="B524" s="22">
        <v>21</v>
      </c>
      <c r="C524" s="22">
        <v>3</v>
      </c>
      <c r="D524" s="2" t="s">
        <v>432</v>
      </c>
      <c r="E524" s="22"/>
      <c r="F524" s="18">
        <v>1195908.3</v>
      </c>
      <c r="G524" s="18">
        <v>747717.93</v>
      </c>
      <c r="H524" s="18">
        <v>1612084.08</v>
      </c>
      <c r="I524" s="18">
        <v>10083.35</v>
      </c>
      <c r="J524" s="18">
        <v>3664.46</v>
      </c>
      <c r="K524" s="18">
        <v>879.08</v>
      </c>
      <c r="L524" s="69">
        <f>SUM(F524:K524)</f>
        <v>3570337.2</v>
      </c>
      <c r="N524" s="130"/>
    </row>
    <row r="525" spans="1:14" ht="12.2" customHeight="1" thickTop="1" x14ac:dyDescent="0.2">
      <c r="A525" s="97" t="s">
        <v>63</v>
      </c>
      <c r="B525" s="41">
        <v>21</v>
      </c>
      <c r="C525" s="41">
        <v>4</v>
      </c>
      <c r="D525" s="115" t="s">
        <v>432</v>
      </c>
      <c r="E525" s="41"/>
      <c r="F525" s="81">
        <f>SUM(F522:F524)</f>
        <v>4099124.5699999994</v>
      </c>
      <c r="G525" s="81">
        <f t="shared" ref="G525:L525" si="36">SUM(G522:G524)</f>
        <v>2583732.73</v>
      </c>
      <c r="H525" s="81">
        <f t="shared" si="36"/>
        <v>3952977.9299999997</v>
      </c>
      <c r="I525" s="81">
        <f t="shared" si="36"/>
        <v>27786.080000000002</v>
      </c>
      <c r="J525" s="81">
        <f>SUM(J522:J524)</f>
        <v>16408.37</v>
      </c>
      <c r="K525" s="81">
        <f t="shared" si="36"/>
        <v>2663.88</v>
      </c>
      <c r="L525" s="70">
        <f t="shared" si="36"/>
        <v>10682693.559999999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1034595.72</v>
      </c>
      <c r="G527" s="18">
        <v>549775.64</v>
      </c>
      <c r="H527" s="18">
        <v>175273.63</v>
      </c>
      <c r="I527" s="18">
        <v>16654.650000000001</v>
      </c>
      <c r="J527" s="18">
        <v>7920.73</v>
      </c>
      <c r="K527" s="18">
        <v>1248.1500000000001</v>
      </c>
      <c r="L527" s="69">
        <f>SUM(F527:K527)</f>
        <v>1785468.5199999996</v>
      </c>
      <c r="M527" s="8"/>
      <c r="N527" s="164"/>
    </row>
    <row r="528" spans="1:14" s="3" customFormat="1" ht="12.2" customHeight="1" x14ac:dyDescent="0.15">
      <c r="A528" s="21" t="s">
        <v>634</v>
      </c>
      <c r="B528" s="22">
        <v>21</v>
      </c>
      <c r="C528" s="22">
        <v>6</v>
      </c>
      <c r="D528" s="2" t="s">
        <v>432</v>
      </c>
      <c r="E528" s="22"/>
      <c r="F528" s="18">
        <v>104607.12</v>
      </c>
      <c r="G528" s="18">
        <v>32112.51</v>
      </c>
      <c r="H528" s="18">
        <v>247564.89</v>
      </c>
      <c r="I528" s="18">
        <v>3956.26</v>
      </c>
      <c r="J528" s="18">
        <v>1180.42</v>
      </c>
      <c r="K528" s="18">
        <v>329.7</v>
      </c>
      <c r="L528" s="69">
        <f>SUM(F528:K528)</f>
        <v>389750.9</v>
      </c>
      <c r="M528" s="8"/>
      <c r="N528" s="164"/>
    </row>
    <row r="529" spans="1:14" s="3" customFormat="1" ht="12.2" customHeight="1" thickBot="1" x14ac:dyDescent="0.2">
      <c r="A529" s="21" t="s">
        <v>635</v>
      </c>
      <c r="B529" s="22">
        <v>21</v>
      </c>
      <c r="C529" s="22">
        <v>7</v>
      </c>
      <c r="D529" s="2" t="s">
        <v>432</v>
      </c>
      <c r="E529" s="22"/>
      <c r="F529" s="18">
        <v>337324.11</v>
      </c>
      <c r="G529" s="18">
        <v>136924.42000000001</v>
      </c>
      <c r="H529" s="18">
        <v>69085.05</v>
      </c>
      <c r="I529" s="18">
        <v>6003.76</v>
      </c>
      <c r="J529" s="18">
        <v>2291.83</v>
      </c>
      <c r="K529" s="18">
        <v>777.15</v>
      </c>
      <c r="L529" s="69">
        <f>SUM(F529:K529)</f>
        <v>552406.32000000007</v>
      </c>
      <c r="M529" s="8"/>
      <c r="N529" s="164"/>
    </row>
    <row r="530" spans="1:14" s="3" customFormat="1" ht="12.2" customHeight="1" thickTop="1" x14ac:dyDescent="0.15">
      <c r="A530" s="97" t="s">
        <v>65</v>
      </c>
      <c r="B530" s="41">
        <v>21</v>
      </c>
      <c r="C530" s="41">
        <v>8</v>
      </c>
      <c r="D530" s="115" t="s">
        <v>432</v>
      </c>
      <c r="E530" s="41"/>
      <c r="F530" s="70">
        <f>SUM(F527:F529)</f>
        <v>1476526.9499999997</v>
      </c>
      <c r="G530" s="70">
        <f t="shared" ref="G530:L530" si="37">SUM(G527:G529)</f>
        <v>718812.57000000007</v>
      </c>
      <c r="H530" s="70">
        <f t="shared" si="37"/>
        <v>491923.57</v>
      </c>
      <c r="I530" s="70">
        <f t="shared" si="37"/>
        <v>26614.670000000006</v>
      </c>
      <c r="J530" s="70">
        <f>SUM(J527:J529)</f>
        <v>11392.98</v>
      </c>
      <c r="K530" s="70">
        <f t="shared" si="37"/>
        <v>2355</v>
      </c>
      <c r="L530" s="70">
        <f t="shared" si="37"/>
        <v>2727625.7399999993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574161.21</v>
      </c>
      <c r="G532" s="18">
        <v>273081.27</v>
      </c>
      <c r="H532" s="18">
        <v>1338.53</v>
      </c>
      <c r="I532" s="18">
        <v>37.630000000000003</v>
      </c>
      <c r="J532" s="18"/>
      <c r="K532" s="18">
        <v>773.8</v>
      </c>
      <c r="L532" s="69">
        <f>SUM(F532:K532)</f>
        <v>849392.44000000006</v>
      </c>
      <c r="M532" s="8"/>
      <c r="N532" s="164"/>
    </row>
    <row r="533" spans="1:14" s="3" customFormat="1" ht="12.2" customHeight="1" x14ac:dyDescent="0.15">
      <c r="A533" s="21" t="s">
        <v>634</v>
      </c>
      <c r="B533" s="22">
        <v>21</v>
      </c>
      <c r="C533" s="22">
        <v>10</v>
      </c>
      <c r="D533" s="2" t="s">
        <v>432</v>
      </c>
      <c r="E533" s="22"/>
      <c r="F533" s="18">
        <v>145059.07</v>
      </c>
      <c r="G533" s="18">
        <v>59941.02</v>
      </c>
      <c r="H533" s="18">
        <v>326.06</v>
      </c>
      <c r="I533" s="18">
        <v>9.94</v>
      </c>
      <c r="J533" s="18"/>
      <c r="K533" s="18">
        <v>204.4</v>
      </c>
      <c r="L533" s="69">
        <f>SUM(F533:K533)</f>
        <v>205540.49</v>
      </c>
      <c r="M533" s="8"/>
      <c r="N533" s="164"/>
    </row>
    <row r="534" spans="1:14" s="3" customFormat="1" ht="12.2" customHeight="1" thickBot="1" x14ac:dyDescent="0.2">
      <c r="A534" s="21" t="s">
        <v>635</v>
      </c>
      <c r="B534" s="22">
        <v>21</v>
      </c>
      <c r="C534" s="22">
        <v>11</v>
      </c>
      <c r="D534" s="2" t="s">
        <v>432</v>
      </c>
      <c r="E534" s="22"/>
      <c r="F534" s="18">
        <v>248001.78</v>
      </c>
      <c r="G534" s="18">
        <v>89422.080000000002</v>
      </c>
      <c r="H534" s="18">
        <v>768.58</v>
      </c>
      <c r="I534" s="18">
        <v>23.43</v>
      </c>
      <c r="J534" s="18"/>
      <c r="K534" s="18">
        <v>481.8</v>
      </c>
      <c r="L534" s="69">
        <f>SUM(F534:K534)</f>
        <v>338697.67</v>
      </c>
      <c r="M534" s="8"/>
      <c r="N534" s="164"/>
    </row>
    <row r="535" spans="1:14" s="3" customFormat="1" ht="12.2" customHeight="1" thickTop="1" x14ac:dyDescent="0.15">
      <c r="A535" s="97" t="s">
        <v>67</v>
      </c>
      <c r="B535" s="41">
        <v>21</v>
      </c>
      <c r="C535" s="41">
        <v>12</v>
      </c>
      <c r="D535" s="115" t="s">
        <v>432</v>
      </c>
      <c r="E535" s="41"/>
      <c r="F535" s="70">
        <f>SUM(F532:F534)</f>
        <v>967222.06</v>
      </c>
      <c r="G535" s="70">
        <f t="shared" ref="G535:L535" si="38">SUM(G532:G534)</f>
        <v>422444.37000000005</v>
      </c>
      <c r="H535" s="70">
        <f t="shared" si="38"/>
        <v>2433.17</v>
      </c>
      <c r="I535" s="70">
        <f t="shared" si="38"/>
        <v>71</v>
      </c>
      <c r="J535" s="70">
        <f t="shared" si="38"/>
        <v>0</v>
      </c>
      <c r="K535" s="70">
        <f t="shared" si="38"/>
        <v>1460</v>
      </c>
      <c r="L535" s="70">
        <f t="shared" si="38"/>
        <v>1393630.6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19473.66</v>
      </c>
      <c r="I537" s="18"/>
      <c r="J537" s="18"/>
      <c r="K537" s="18"/>
      <c r="L537" s="69">
        <f>SUM(F537:K537)</f>
        <v>19473.66</v>
      </c>
      <c r="M537" s="8"/>
      <c r="N537" s="164"/>
    </row>
    <row r="538" spans="1:14" s="3" customFormat="1" ht="12.2" customHeight="1" x14ac:dyDescent="0.15">
      <c r="A538" s="21" t="s">
        <v>634</v>
      </c>
      <c r="B538" s="22">
        <v>21</v>
      </c>
      <c r="C538" s="22">
        <v>14</v>
      </c>
      <c r="D538" s="2" t="s">
        <v>432</v>
      </c>
      <c r="E538" s="22"/>
      <c r="F538" s="18"/>
      <c r="G538" s="18"/>
      <c r="H538" s="18">
        <v>5143.99</v>
      </c>
      <c r="I538" s="18"/>
      <c r="J538" s="18"/>
      <c r="K538" s="18"/>
      <c r="L538" s="69">
        <f>SUM(F538:K538)</f>
        <v>5143.99</v>
      </c>
      <c r="M538" s="8"/>
      <c r="N538" s="164"/>
    </row>
    <row r="539" spans="1:14" s="3" customFormat="1" ht="12.2" customHeight="1" thickBot="1" x14ac:dyDescent="0.2">
      <c r="A539" s="21" t="s">
        <v>635</v>
      </c>
      <c r="B539" s="22">
        <v>21</v>
      </c>
      <c r="C539" s="22">
        <v>15</v>
      </c>
      <c r="D539" s="2" t="s">
        <v>432</v>
      </c>
      <c r="E539" s="22"/>
      <c r="F539" s="18"/>
      <c r="G539" s="18"/>
      <c r="H539" s="18">
        <v>12125.11</v>
      </c>
      <c r="I539" s="18"/>
      <c r="J539" s="18"/>
      <c r="K539" s="18"/>
      <c r="L539" s="69">
        <f>SUM(F539:K539)</f>
        <v>12125.11</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36742.76</v>
      </c>
      <c r="I540" s="70">
        <f t="shared" si="39"/>
        <v>0</v>
      </c>
      <c r="J540" s="70">
        <f t="shared" si="39"/>
        <v>0</v>
      </c>
      <c r="K540" s="70">
        <f t="shared" si="39"/>
        <v>0</v>
      </c>
      <c r="L540" s="70">
        <f t="shared" si="39"/>
        <v>36742.76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744272.21</v>
      </c>
      <c r="I542" s="18"/>
      <c r="J542" s="18"/>
      <c r="K542" s="18"/>
      <c r="L542" s="69">
        <f>SUM(F542:K542)</f>
        <v>744272.21</v>
      </c>
      <c r="M542" s="8"/>
      <c r="N542" s="164"/>
    </row>
    <row r="543" spans="1:14" s="3" customFormat="1" ht="12.2" customHeight="1" x14ac:dyDescent="0.15">
      <c r="A543" s="21" t="s">
        <v>634</v>
      </c>
      <c r="B543" s="22">
        <v>21</v>
      </c>
      <c r="C543" s="22">
        <v>18</v>
      </c>
      <c r="D543" s="2" t="s">
        <v>432</v>
      </c>
      <c r="E543" s="22"/>
      <c r="F543" s="18"/>
      <c r="G543" s="18"/>
      <c r="H543" s="18">
        <v>196600.21</v>
      </c>
      <c r="I543" s="18"/>
      <c r="J543" s="18"/>
      <c r="K543" s="18"/>
      <c r="L543" s="69">
        <f>SUM(F543:K543)</f>
        <v>196600.21</v>
      </c>
      <c r="M543" s="8"/>
      <c r="N543" s="164"/>
    </row>
    <row r="544" spans="1:14" s="3" customFormat="1" ht="12.2" customHeight="1" thickBot="1" x14ac:dyDescent="0.2">
      <c r="A544" s="21" t="s">
        <v>635</v>
      </c>
      <c r="B544" s="22">
        <v>21</v>
      </c>
      <c r="C544" s="22">
        <v>19</v>
      </c>
      <c r="D544" s="2" t="s">
        <v>432</v>
      </c>
      <c r="E544" s="22"/>
      <c r="F544" s="18"/>
      <c r="G544" s="18"/>
      <c r="H544" s="18">
        <v>469917.97</v>
      </c>
      <c r="I544" s="18"/>
      <c r="J544" s="18"/>
      <c r="K544" s="18"/>
      <c r="L544" s="69">
        <f>SUM(F544:K544)</f>
        <v>469917.97</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1410790.39</v>
      </c>
      <c r="I545" s="140">
        <f t="shared" si="40"/>
        <v>0</v>
      </c>
      <c r="J545" s="140">
        <f t="shared" si="40"/>
        <v>0</v>
      </c>
      <c r="K545" s="140">
        <f t="shared" si="40"/>
        <v>0</v>
      </c>
      <c r="L545" s="140">
        <f t="shared" si="40"/>
        <v>1410790.39</v>
      </c>
      <c r="M545" s="8"/>
      <c r="N545" s="164"/>
    </row>
    <row r="546" spans="1:14" s="3" customFormat="1" ht="12.2" customHeight="1" thickTop="1" x14ac:dyDescent="0.15">
      <c r="A546" s="75" t="s">
        <v>72</v>
      </c>
      <c r="B546" s="41">
        <v>21</v>
      </c>
      <c r="C546" s="41">
        <v>21</v>
      </c>
      <c r="D546" s="115" t="s">
        <v>432</v>
      </c>
      <c r="E546" s="41"/>
      <c r="F546" s="70">
        <f>F525+F530+F535+F540+F545</f>
        <v>6542873.5800000001</v>
      </c>
      <c r="G546" s="70">
        <f t="shared" ref="G546:L546" si="41">G525+G530+G535+G540+G545</f>
        <v>3724989.67</v>
      </c>
      <c r="H546" s="70">
        <f t="shared" si="41"/>
        <v>5894867.8199999994</v>
      </c>
      <c r="I546" s="70">
        <f t="shared" si="41"/>
        <v>54471.750000000007</v>
      </c>
      <c r="J546" s="70">
        <f t="shared" si="41"/>
        <v>27801.35</v>
      </c>
      <c r="K546" s="70">
        <f t="shared" si="41"/>
        <v>6478.88</v>
      </c>
      <c r="L546" s="70">
        <f t="shared" si="41"/>
        <v>16251483.049999997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5746169.5699999994</v>
      </c>
      <c r="G550" s="69">
        <f>L527</f>
        <v>1785468.5199999996</v>
      </c>
      <c r="H550" s="69">
        <f>L532</f>
        <v>849392.44000000006</v>
      </c>
      <c r="I550" s="69">
        <f>L537</f>
        <v>19473.66</v>
      </c>
      <c r="J550" s="69">
        <f>L542</f>
        <v>744272.21</v>
      </c>
      <c r="K550" s="69">
        <f>SUM(F550:J550)</f>
        <v>9144776.3999999985</v>
      </c>
      <c r="L550" s="23" t="s">
        <v>288</v>
      </c>
      <c r="M550" s="8"/>
      <c r="N550" s="164"/>
    </row>
    <row r="551" spans="1:14" s="3" customFormat="1" ht="12.2" customHeight="1" x14ac:dyDescent="0.15">
      <c r="A551" s="21" t="s">
        <v>634</v>
      </c>
      <c r="B551" s="22">
        <v>21</v>
      </c>
      <c r="C551" s="22">
        <v>23</v>
      </c>
      <c r="D551" s="2" t="s">
        <v>432</v>
      </c>
      <c r="E551" s="22"/>
      <c r="F551" s="69">
        <f>L523</f>
        <v>1366186.79</v>
      </c>
      <c r="G551" s="69">
        <f>L528</f>
        <v>389750.9</v>
      </c>
      <c r="H551" s="69">
        <f>L533</f>
        <v>205540.49</v>
      </c>
      <c r="I551" s="69">
        <f>L538</f>
        <v>5143.99</v>
      </c>
      <c r="J551" s="69">
        <f>L543</f>
        <v>196600.21</v>
      </c>
      <c r="K551" s="69">
        <f>SUM(F551:J551)</f>
        <v>2163222.38</v>
      </c>
      <c r="L551" s="23" t="s">
        <v>288</v>
      </c>
      <c r="M551" s="8"/>
      <c r="N551" s="164"/>
    </row>
    <row r="552" spans="1:14" s="3" customFormat="1" ht="12.2" customHeight="1" thickBot="1" x14ac:dyDescent="0.2">
      <c r="A552" s="21" t="s">
        <v>635</v>
      </c>
      <c r="B552" s="22">
        <v>21</v>
      </c>
      <c r="C552" s="22">
        <v>24</v>
      </c>
      <c r="D552" s="2" t="s">
        <v>432</v>
      </c>
      <c r="E552" s="22"/>
      <c r="F552" s="69">
        <f>L524</f>
        <v>3570337.2</v>
      </c>
      <c r="G552" s="69">
        <f>L529</f>
        <v>552406.32000000007</v>
      </c>
      <c r="H552" s="69">
        <f>L534</f>
        <v>338697.67</v>
      </c>
      <c r="I552" s="69">
        <f>L539</f>
        <v>12125.11</v>
      </c>
      <c r="J552" s="69">
        <f>L544</f>
        <v>469917.97</v>
      </c>
      <c r="K552" s="69">
        <f>SUM(F552:J552)</f>
        <v>4943484.2700000005</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10682693.559999999</v>
      </c>
      <c r="G553" s="70">
        <f t="shared" si="42"/>
        <v>2727625.7399999993</v>
      </c>
      <c r="H553" s="70">
        <f t="shared" si="42"/>
        <v>1393630.6</v>
      </c>
      <c r="I553" s="70">
        <f t="shared" si="42"/>
        <v>36742.76</v>
      </c>
      <c r="J553" s="70">
        <f t="shared" si="42"/>
        <v>1410790.39</v>
      </c>
      <c r="K553" s="70">
        <f t="shared" si="42"/>
        <v>16251483.049999997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135051.18</v>
      </c>
      <c r="G563" s="18">
        <v>37746.03</v>
      </c>
      <c r="H563" s="18"/>
      <c r="I563" s="18">
        <v>301.14999999999998</v>
      </c>
      <c r="J563" s="18"/>
      <c r="K563" s="18"/>
      <c r="L563" s="69">
        <f>SUM(F563:K563)</f>
        <v>173098.36</v>
      </c>
      <c r="M563" s="8"/>
      <c r="N563" s="164"/>
    </row>
    <row r="564" spans="1:14" s="3" customFormat="1" ht="12.2" customHeight="1" x14ac:dyDescent="0.15">
      <c r="A564" s="21" t="s">
        <v>634</v>
      </c>
      <c r="B564" s="22">
        <v>22</v>
      </c>
      <c r="C564" s="22">
        <v>6</v>
      </c>
      <c r="D564" s="2" t="s">
        <v>432</v>
      </c>
      <c r="E564" s="22"/>
      <c r="F564" s="18">
        <v>17051.97</v>
      </c>
      <c r="G564" s="18">
        <v>5183.34</v>
      </c>
      <c r="H564" s="18"/>
      <c r="I564" s="18">
        <v>36.270000000000003</v>
      </c>
      <c r="J564" s="18"/>
      <c r="K564" s="18"/>
      <c r="L564" s="69">
        <f>SUM(F564:K564)</f>
        <v>22271.58</v>
      </c>
      <c r="M564" s="8"/>
      <c r="N564" s="164"/>
    </row>
    <row r="565" spans="1:14" s="3" customFormat="1" ht="12.2" customHeight="1" thickBot="1" x14ac:dyDescent="0.2">
      <c r="A565" s="21" t="s">
        <v>635</v>
      </c>
      <c r="B565" s="22">
        <v>22</v>
      </c>
      <c r="C565" s="22">
        <v>7</v>
      </c>
      <c r="D565" s="2" t="s">
        <v>432</v>
      </c>
      <c r="E565" s="22"/>
      <c r="F565" s="18">
        <v>17481.87</v>
      </c>
      <c r="G565" s="18">
        <v>5183.34</v>
      </c>
      <c r="H565" s="18"/>
      <c r="I565" s="18">
        <v>85.49</v>
      </c>
      <c r="J565" s="18"/>
      <c r="K565" s="18"/>
      <c r="L565" s="69">
        <f>SUM(F565:K565)</f>
        <v>22750.7</v>
      </c>
      <c r="M565" s="8"/>
      <c r="N565" s="164"/>
    </row>
    <row r="566" spans="1:14" s="3" customFormat="1" ht="12.2" customHeight="1" thickTop="1" x14ac:dyDescent="0.15">
      <c r="A566" s="97" t="s">
        <v>65</v>
      </c>
      <c r="B566" s="41">
        <v>22</v>
      </c>
      <c r="C566" s="41">
        <v>8</v>
      </c>
      <c r="D566" s="115" t="s">
        <v>432</v>
      </c>
      <c r="E566" s="41"/>
      <c r="F566" s="70">
        <f t="shared" ref="F566:L566" si="44">SUM(F563:F565)</f>
        <v>169585.02</v>
      </c>
      <c r="G566" s="70">
        <f t="shared" si="44"/>
        <v>48112.709999999992</v>
      </c>
      <c r="H566" s="70">
        <f t="shared" si="44"/>
        <v>0</v>
      </c>
      <c r="I566" s="70">
        <f t="shared" si="44"/>
        <v>422.90999999999997</v>
      </c>
      <c r="J566" s="70">
        <f t="shared" si="44"/>
        <v>0</v>
      </c>
      <c r="K566" s="70">
        <f t="shared" si="44"/>
        <v>0</v>
      </c>
      <c r="L566" s="70">
        <f t="shared" si="44"/>
        <v>218120.64</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169585.02</v>
      </c>
      <c r="G572" s="70">
        <f t="shared" ref="G572:L572" si="46">G561+G566+G571</f>
        <v>48112.709999999992</v>
      </c>
      <c r="H572" s="70">
        <f t="shared" si="46"/>
        <v>0</v>
      </c>
      <c r="I572" s="70">
        <f t="shared" si="46"/>
        <v>422.90999999999997</v>
      </c>
      <c r="J572" s="70">
        <f t="shared" si="46"/>
        <v>0</v>
      </c>
      <c r="K572" s="70">
        <f t="shared" si="46"/>
        <v>0</v>
      </c>
      <c r="L572" s="70">
        <f t="shared" si="46"/>
        <v>218120.64</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4692</v>
      </c>
      <c r="I576" s="69">
        <f>SUM(F576:H576)</f>
        <v>4692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SUM(F579:H579)</f>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SUM(F580:H580)</f>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SUM(F581:H581)</f>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361573.91</v>
      </c>
      <c r="G583" s="18">
        <v>401905.73</v>
      </c>
      <c r="H583" s="18">
        <v>1308203.18</v>
      </c>
      <c r="I583" s="69">
        <f>SUM(F583:H583)</f>
        <v>2071682.8199999998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66398.47</v>
      </c>
      <c r="I584" s="69">
        <f>SUM(F584:H584)</f>
        <v>66398.47</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297972.98</v>
      </c>
      <c r="I585" s="69">
        <f t="shared" si="47"/>
        <v>297972.98</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361573.91</v>
      </c>
      <c r="G589" s="79">
        <f t="shared" ref="G589:I589" si="48">SUM(G576:G588)</f>
        <v>401905.73</v>
      </c>
      <c r="H589" s="79">
        <f>SUM(H576:H588)</f>
        <v>1677266.63</v>
      </c>
      <c r="I589" s="79">
        <f t="shared" si="48"/>
        <v>2440746.27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998494.82</v>
      </c>
      <c r="I592" s="18">
        <v>263753.28000000003</v>
      </c>
      <c r="J592" s="18">
        <v>621704.16</v>
      </c>
      <c r="K592" s="80">
        <f t="shared" ref="K592:K598" si="49">SUM(H592:J592)</f>
        <v>1883952.2600000002</v>
      </c>
      <c r="L592" s="23" t="s">
        <v>288</v>
      </c>
      <c r="M592" s="8"/>
      <c r="N592" s="164"/>
    </row>
    <row r="593" spans="1:14" s="3" customFormat="1" ht="12.2" customHeight="1" x14ac:dyDescent="0.15">
      <c r="A593" s="3" t="s">
        <v>638</v>
      </c>
      <c r="B593" s="22">
        <v>23</v>
      </c>
      <c r="C593" s="22">
        <v>2</v>
      </c>
      <c r="D593" s="2" t="s">
        <v>432</v>
      </c>
      <c r="E593" s="22"/>
      <c r="F593" s="78">
        <v>2722</v>
      </c>
      <c r="G593" s="79" t="s">
        <v>97</v>
      </c>
      <c r="H593" s="18">
        <v>744272.21070000005</v>
      </c>
      <c r="I593" s="18">
        <v>196600.2066</v>
      </c>
      <c r="J593" s="18">
        <v>469917.97270000004</v>
      </c>
      <c r="K593" s="80">
        <f t="shared" si="49"/>
        <v>1410790.3900000001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154815.29999999999</v>
      </c>
      <c r="K594" s="80">
        <f t="shared" si="49"/>
        <v>154815.29999999999</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24493.91</v>
      </c>
      <c r="J595" s="18">
        <v>124937.69</v>
      </c>
      <c r="K595" s="80">
        <f t="shared" si="49"/>
        <v>149431.6</v>
      </c>
      <c r="L595" s="23" t="s">
        <v>288</v>
      </c>
      <c r="M595" s="8"/>
      <c r="N595" s="164"/>
    </row>
    <row r="596" spans="1:14" s="3" customFormat="1" ht="12.2" customHeight="1" x14ac:dyDescent="0.15">
      <c r="A596" s="103" t="s">
        <v>652</v>
      </c>
      <c r="B596" s="22">
        <v>23</v>
      </c>
      <c r="C596" s="22">
        <v>5</v>
      </c>
      <c r="D596" s="2" t="s">
        <v>432</v>
      </c>
      <c r="E596" s="22"/>
      <c r="F596" s="78">
        <v>2725</v>
      </c>
      <c r="G596" s="79" t="s">
        <v>97</v>
      </c>
      <c r="H596" s="18">
        <v>5926.97</v>
      </c>
      <c r="I596" s="18"/>
      <c r="J596" s="18">
        <v>13643.41</v>
      </c>
      <c r="K596" s="80">
        <f t="shared" si="49"/>
        <v>19570.38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1748694.0007</v>
      </c>
      <c r="I599" s="81">
        <f>SUM(I592:I598)</f>
        <v>484847.39660000004</v>
      </c>
      <c r="J599" s="81">
        <f>SUM(J592:J598)</f>
        <v>1385018.5326999999</v>
      </c>
      <c r="K599" s="81">
        <f>SUM(K592:K598)</f>
        <v>3618559.93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280895.05</v>
      </c>
      <c r="I605" s="18">
        <v>106674.72</v>
      </c>
      <c r="J605" s="18">
        <v>609761.27</v>
      </c>
      <c r="K605" s="80">
        <f>SUM(H605:J605)</f>
        <v>997331.04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280895.05</v>
      </c>
      <c r="I606" s="81">
        <f>SUM(I603:I605)</f>
        <v>106674.72</v>
      </c>
      <c r="J606" s="81">
        <f>SUM(J603:J605)</f>
        <v>609761.27</v>
      </c>
      <c r="K606" s="81">
        <f>SUM(K603:K605)</f>
        <v>997331.04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82500</v>
      </c>
      <c r="G612" s="18">
        <v>19262.22</v>
      </c>
      <c r="H612" s="18"/>
      <c r="I612" s="18">
        <v>11114.35</v>
      </c>
      <c r="J612" s="18"/>
      <c r="K612" s="18"/>
      <c r="L612" s="69">
        <f>SUM(F612:K612)</f>
        <v>112876.57</v>
      </c>
      <c r="M612" s="8"/>
      <c r="N612" s="164"/>
    </row>
    <row r="613" spans="1:14" s="3" customFormat="1" ht="12.2" customHeight="1" x14ac:dyDescent="0.15">
      <c r="A613" s="21" t="s">
        <v>634</v>
      </c>
      <c r="B613" s="22">
        <v>23</v>
      </c>
      <c r="C613" s="22">
        <v>14</v>
      </c>
      <c r="D613" s="2" t="s">
        <v>432</v>
      </c>
      <c r="E613" s="22"/>
      <c r="F613" s="18">
        <v>4800</v>
      </c>
      <c r="G613" s="18">
        <v>1309.92</v>
      </c>
      <c r="H613" s="18"/>
      <c r="I613" s="18"/>
      <c r="J613" s="18"/>
      <c r="K613" s="18"/>
      <c r="L613" s="69">
        <f>SUM(F613:K613)</f>
        <v>6109.92</v>
      </c>
      <c r="M613" s="8"/>
      <c r="N613" s="164"/>
    </row>
    <row r="614" spans="1:14" s="3" customFormat="1" ht="12.2" customHeight="1" thickBot="1" x14ac:dyDescent="0.2">
      <c r="A614" s="21" t="s">
        <v>645</v>
      </c>
      <c r="B614" s="22">
        <v>23</v>
      </c>
      <c r="C614" s="22">
        <v>15</v>
      </c>
      <c r="D614" s="2" t="s">
        <v>432</v>
      </c>
      <c r="E614" s="22"/>
      <c r="F614" s="18">
        <v>14850</v>
      </c>
      <c r="G614" s="18">
        <v>4051.09</v>
      </c>
      <c r="H614" s="18"/>
      <c r="I614" s="18"/>
      <c r="J614" s="18"/>
      <c r="K614" s="18"/>
      <c r="L614" s="69">
        <f>SUM(F614:K614)</f>
        <v>18901.09</v>
      </c>
      <c r="M614" s="8"/>
      <c r="N614" s="164"/>
    </row>
    <row r="615" spans="1:14" s="3" customFormat="1" ht="12.2" customHeight="1" thickTop="1" x14ac:dyDescent="0.15">
      <c r="A615" s="75" t="s">
        <v>340</v>
      </c>
      <c r="B615" s="41">
        <v>23</v>
      </c>
      <c r="C615" s="41">
        <v>16</v>
      </c>
      <c r="D615" s="36" t="s">
        <v>432</v>
      </c>
      <c r="E615" s="41"/>
      <c r="F615" s="81">
        <f t="shared" ref="F615:L615" si="50">SUM(F612:F614)</f>
        <v>102150</v>
      </c>
      <c r="G615" s="81">
        <f t="shared" si="50"/>
        <v>24623.23</v>
      </c>
      <c r="H615" s="81">
        <f t="shared" si="50"/>
        <v>0</v>
      </c>
      <c r="I615" s="81">
        <f t="shared" si="50"/>
        <v>11114.35</v>
      </c>
      <c r="J615" s="81">
        <f t="shared" si="50"/>
        <v>0</v>
      </c>
      <c r="K615" s="81">
        <f t="shared" si="50"/>
        <v>0</v>
      </c>
      <c r="L615" s="70">
        <f t="shared" si="50"/>
        <v>137887.58000000002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5314895.78</v>
      </c>
      <c r="H618" s="80">
        <f>SUM(F52)</f>
        <v>5314895.7799999993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656467.17999999993</v>
      </c>
      <c r="H619" s="80">
        <f>SUM(G52)</f>
        <v>656467.17999999993</v>
      </c>
      <c r="I619" s="87" t="s">
        <v>872</v>
      </c>
      <c r="J619" s="80">
        <f>G619-H619</f>
        <v>0</v>
      </c>
      <c r="K619" s="80"/>
      <c r="L619" s="80"/>
      <c r="M619" s="8"/>
    </row>
    <row r="620" spans="1:14" s="3" customFormat="1" ht="12.2" customHeight="1" x14ac:dyDescent="0.15">
      <c r="A620" s="74"/>
      <c r="B620" s="22"/>
      <c r="C620" s="22"/>
      <c r="D620" s="22"/>
      <c r="E620" s="22"/>
      <c r="F620" s="87" t="s">
        <v>685</v>
      </c>
      <c r="G620" s="80">
        <f>SUM(H19)</f>
        <v>703247.83000000007</v>
      </c>
      <c r="H620" s="80">
        <f>SUM(H52)</f>
        <v>703247.83000000007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1414455.21</v>
      </c>
      <c r="H622" s="80">
        <f>SUM(J52)</f>
        <v>1414455.21</v>
      </c>
      <c r="I622" s="87" t="s">
        <v>875</v>
      </c>
      <c r="J622" s="80">
        <f>G622-H622</f>
        <v>0</v>
      </c>
      <c r="K622" s="80"/>
      <c r="L622" s="80"/>
      <c r="M622" s="8"/>
    </row>
    <row r="623" spans="1:14" s="3" customFormat="1" ht="12.2" customHeight="1" x14ac:dyDescent="0.15">
      <c r="A623" s="74"/>
      <c r="B623" s="22"/>
      <c r="C623" s="22"/>
      <c r="D623" s="22"/>
      <c r="E623" s="22"/>
      <c r="F623" s="87" t="s">
        <v>861</v>
      </c>
      <c r="G623" s="80">
        <f>F51</f>
        <v>2140136.29</v>
      </c>
      <c r="H623" s="80">
        <f>F477</f>
        <v>2140136.2899999991</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596415.06999999995</v>
      </c>
      <c r="H624" s="80">
        <f>G477</f>
        <v>596415.0700000003</v>
      </c>
      <c r="I624" s="87" t="s">
        <v>102</v>
      </c>
      <c r="J624" s="80">
        <f t="shared" si="51"/>
        <v>0</v>
      </c>
      <c r="K624" s="80"/>
      <c r="L624" s="80"/>
      <c r="M624" s="8"/>
    </row>
    <row r="625" spans="1:13" s="3" customFormat="1" ht="12.2" customHeight="1" x14ac:dyDescent="0.15">
      <c r="A625" s="74"/>
      <c r="B625" s="22"/>
      <c r="C625" s="22"/>
      <c r="D625" s="22"/>
      <c r="E625" s="22"/>
      <c r="F625" s="86" t="s">
        <v>863</v>
      </c>
      <c r="G625" s="80">
        <f>H51</f>
        <v>455194.75</v>
      </c>
      <c r="H625" s="80">
        <f>H477</f>
        <v>455194.75</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1414455.21</v>
      </c>
      <c r="H627" s="80">
        <f>J477</f>
        <v>1414455.2099999997</v>
      </c>
      <c r="I627" s="87" t="s">
        <v>105</v>
      </c>
      <c r="J627" s="80">
        <f t="shared" si="51"/>
        <v>0</v>
      </c>
      <c r="K627" s="67"/>
      <c r="L627" s="69"/>
      <c r="M627" s="8"/>
    </row>
    <row r="628" spans="1:13" s="3" customFormat="1" ht="12.2" customHeight="1" x14ac:dyDescent="0.15">
      <c r="A628" s="21"/>
      <c r="B628" s="22"/>
      <c r="C628" s="22"/>
      <c r="D628" s="22"/>
      <c r="E628" s="22"/>
      <c r="F628" s="86" t="s">
        <v>658</v>
      </c>
      <c r="G628" s="80">
        <f>F194</f>
        <v>62413275.699999996</v>
      </c>
      <c r="H628" s="80">
        <f>SUM(F469)</f>
        <v>62413275.700000003</v>
      </c>
      <c r="I628" s="87" t="s">
        <v>106</v>
      </c>
      <c r="J628" s="80">
        <f>G628-H628</f>
        <v>0</v>
      </c>
      <c r="K628" s="67"/>
      <c r="L628" s="69"/>
      <c r="M628" s="8"/>
    </row>
    <row r="629" spans="1:13" s="3" customFormat="1" ht="12.2" customHeight="1" x14ac:dyDescent="0.15">
      <c r="A629" s="21"/>
      <c r="B629" s="22"/>
      <c r="C629" s="22"/>
      <c r="D629" s="22"/>
      <c r="E629" s="22"/>
      <c r="F629" s="86" t="s">
        <v>659</v>
      </c>
      <c r="G629" s="80">
        <f>G194</f>
        <v>1115833.54</v>
      </c>
      <c r="H629" s="80">
        <f>SUM(G469)</f>
        <v>1115833.54</v>
      </c>
      <c r="I629" s="87" t="s">
        <v>107</v>
      </c>
      <c r="J629" s="80">
        <f>G629-H629</f>
        <v>0</v>
      </c>
      <c r="K629" s="67"/>
      <c r="L629" s="69"/>
      <c r="M629" s="8"/>
    </row>
    <row r="630" spans="1:13" s="3" customFormat="1" ht="12.2" customHeight="1" x14ac:dyDescent="0.15">
      <c r="A630" s="21"/>
      <c r="B630" s="22"/>
      <c r="C630" s="22"/>
      <c r="D630" s="22"/>
      <c r="E630" s="22"/>
      <c r="F630" s="86" t="s">
        <v>660</v>
      </c>
      <c r="G630" s="80">
        <f>H194</f>
        <v>1451784.7</v>
      </c>
      <c r="H630" s="80">
        <f>SUM(H469)</f>
        <v>1451784.7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713649.2</v>
      </c>
      <c r="H632" s="80">
        <f>SUM(J469)</f>
        <v>713649.2</v>
      </c>
      <c r="I632" s="87" t="s">
        <v>110</v>
      </c>
      <c r="J632" s="80">
        <f>G632-H632</f>
        <v>0</v>
      </c>
      <c r="K632" s="67"/>
      <c r="L632" s="69"/>
      <c r="M632" s="8"/>
    </row>
    <row r="633" spans="1:13" s="3" customFormat="1" ht="12.2" customHeight="1" x14ac:dyDescent="0.15">
      <c r="A633" s="21"/>
      <c r="B633" s="22"/>
      <c r="C633" s="22"/>
      <c r="D633" s="22"/>
      <c r="E633" s="22"/>
      <c r="F633" s="86" t="s">
        <v>394</v>
      </c>
      <c r="G633" s="80">
        <f>SUM(L272)</f>
        <v>62644157.112999998</v>
      </c>
      <c r="H633" s="80">
        <f>SUM(F473)</f>
        <v>62644157.109999999</v>
      </c>
      <c r="I633" s="87" t="s">
        <v>111</v>
      </c>
      <c r="J633" s="80">
        <f t="shared" si="51"/>
        <v>2.9999986290931702E-3</v>
      </c>
      <c r="K633" s="67"/>
      <c r="L633" s="69"/>
      <c r="M633" s="8"/>
    </row>
    <row r="634" spans="1:13" s="3" customFormat="1" ht="12.2" customHeight="1" x14ac:dyDescent="0.15">
      <c r="A634" s="21"/>
      <c r="B634" s="22"/>
      <c r="C634" s="22"/>
      <c r="D634" s="22"/>
      <c r="E634" s="22"/>
      <c r="F634" s="86" t="s">
        <v>395</v>
      </c>
      <c r="G634" s="80">
        <f>SUM(L353)</f>
        <v>1320170.08</v>
      </c>
      <c r="H634" s="80">
        <f>SUM(H473)</f>
        <v>1320170.08</v>
      </c>
      <c r="I634" s="87" t="s">
        <v>112</v>
      </c>
      <c r="J634" s="80">
        <f>G634-H634</f>
        <v>0</v>
      </c>
      <c r="K634" s="67"/>
      <c r="L634" s="69"/>
      <c r="M634" s="8"/>
    </row>
    <row r="635" spans="1:13" s="124" customFormat="1" ht="12.2" customHeight="1" x14ac:dyDescent="0.15">
      <c r="A635" s="21"/>
      <c r="B635" s="22"/>
      <c r="C635" s="22"/>
      <c r="D635" s="22"/>
      <c r="E635" s="22"/>
      <c r="F635" s="99" t="s">
        <v>247</v>
      </c>
      <c r="G635" s="80">
        <f>I363</f>
        <v>510395.85</v>
      </c>
      <c r="H635" s="80">
        <f>I370</f>
        <v>510395.85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1127237.9000000001</v>
      </c>
      <c r="H636" s="80">
        <f>SUM(G473)</f>
        <v>1127237.8999999999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713649.20000000007</v>
      </c>
      <c r="H638" s="108">
        <f>SUM(J469)</f>
        <v>713649.2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707105.26</v>
      </c>
      <c r="H639" s="108">
        <f>SUM(J473)</f>
        <v>707105.26</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1414455.21</v>
      </c>
      <c r="H641" s="80">
        <f>SUM(G462)</f>
        <v>1414455.21</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1414455.21</v>
      </c>
      <c r="H643" s="80">
        <f>SUM(I462)</f>
        <v>1414455.21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38649.199999999997</v>
      </c>
      <c r="H645" s="80">
        <f>H409</f>
        <v>38649.199999999997</v>
      </c>
      <c r="I645" s="87" t="s">
        <v>480</v>
      </c>
      <c r="J645" s="80">
        <f t="shared" si="51"/>
        <v>0</v>
      </c>
      <c r="K645" s="67"/>
      <c r="L645" s="69"/>
      <c r="M645" s="8"/>
    </row>
    <row r="646" spans="1:13" s="3" customFormat="1" ht="12.2" customHeight="1" x14ac:dyDescent="0.15">
      <c r="A646" s="21"/>
      <c r="B646" s="22"/>
      <c r="C646" s="22"/>
      <c r="D646" s="22"/>
      <c r="E646" s="22"/>
      <c r="F646" s="86" t="s">
        <v>664</v>
      </c>
      <c r="G646" s="80">
        <f>J184</f>
        <v>675000</v>
      </c>
      <c r="H646" s="80">
        <f>G409</f>
        <v>675000</v>
      </c>
      <c r="I646" s="87" t="s">
        <v>481</v>
      </c>
      <c r="J646" s="80">
        <f t="shared" si="51"/>
        <v>0</v>
      </c>
      <c r="K646" s="67"/>
      <c r="L646" s="69"/>
      <c r="M646" s="8"/>
    </row>
    <row r="647" spans="1:13" s="3" customFormat="1" ht="12.2" customHeight="1" x14ac:dyDescent="0.15">
      <c r="A647" s="21"/>
      <c r="B647" s="22"/>
      <c r="C647" s="22"/>
      <c r="D647" s="22"/>
      <c r="E647" s="22"/>
      <c r="F647" s="86" t="s">
        <v>662</v>
      </c>
      <c r="G647" s="80">
        <f>J194</f>
        <v>713649.2</v>
      </c>
      <c r="H647" s="80">
        <f>L409</f>
        <v>713649.20000000007</v>
      </c>
      <c r="I647" s="87" t="s">
        <v>477</v>
      </c>
      <c r="J647" s="80">
        <f t="shared" si="51"/>
        <v>0</v>
      </c>
      <c r="K647" s="67"/>
      <c r="L647" s="69"/>
      <c r="M647" s="8"/>
    </row>
    <row r="648" spans="1:13" s="3" customFormat="1" ht="12.2" customHeight="1" x14ac:dyDescent="0.15">
      <c r="A648" s="21"/>
      <c r="B648" s="22"/>
      <c r="C648" s="22"/>
      <c r="D648" s="22"/>
      <c r="E648" s="22"/>
      <c r="F648" s="86" t="s">
        <v>51</v>
      </c>
      <c r="G648" s="80">
        <f>K599</f>
        <v>3618559.93</v>
      </c>
      <c r="H648" s="80">
        <f>L209+L227+L245</f>
        <v>3618559.9299999997</v>
      </c>
      <c r="I648" s="87" t="s">
        <v>396</v>
      </c>
      <c r="J648" s="80">
        <f t="shared" si="51"/>
        <v>0</v>
      </c>
      <c r="K648" s="67"/>
      <c r="L648" s="69"/>
      <c r="M648" s="8"/>
    </row>
    <row r="649" spans="1:13" s="3" customFormat="1" ht="12.2" customHeight="1" x14ac:dyDescent="0.15">
      <c r="A649" s="21"/>
      <c r="B649" s="22"/>
      <c r="C649" s="22"/>
      <c r="D649" s="22"/>
      <c r="E649" s="22"/>
      <c r="F649" s="86" t="s">
        <v>52</v>
      </c>
      <c r="G649" s="80">
        <f>K606</f>
        <v>997331.04</v>
      </c>
      <c r="H649" s="80">
        <f>(J258+J339)-(J256+J337)</f>
        <v>997331.04</v>
      </c>
      <c r="I649" s="87" t="s">
        <v>699</v>
      </c>
      <c r="J649" s="80">
        <f t="shared" si="51"/>
        <v>0</v>
      </c>
      <c r="K649" s="67"/>
      <c r="L649" s="69"/>
      <c r="M649" s="8"/>
    </row>
    <row r="650" spans="1:13" s="3" customFormat="1" ht="12.2" customHeight="1" x14ac:dyDescent="0.15">
      <c r="A650" s="21"/>
      <c r="B650" s="22"/>
      <c r="C650" s="22"/>
      <c r="D650" s="22"/>
      <c r="E650" s="22"/>
      <c r="F650" s="86" t="s">
        <v>387</v>
      </c>
      <c r="G650" s="80">
        <f>L209</f>
        <v>1748694</v>
      </c>
      <c r="H650" s="80">
        <f>H599</f>
        <v>1748694.0007</v>
      </c>
      <c r="I650" s="87" t="s">
        <v>388</v>
      </c>
      <c r="J650" s="80">
        <f t="shared" si="51"/>
        <v>-6.99999975040555E-4</v>
      </c>
      <c r="K650" s="67"/>
      <c r="L650" s="69"/>
      <c r="M650" s="8"/>
    </row>
    <row r="651" spans="1:13" s="3" customFormat="1" ht="12.2" customHeight="1" x14ac:dyDescent="0.15">
      <c r="A651" s="21"/>
      <c r="B651" s="22"/>
      <c r="C651" s="22"/>
      <c r="D651" s="22"/>
      <c r="E651" s="22"/>
      <c r="F651" s="86" t="s">
        <v>392</v>
      </c>
      <c r="G651" s="80">
        <f>L227</f>
        <v>484847.4</v>
      </c>
      <c r="H651" s="80">
        <f>I599</f>
        <v>484847.39660000004</v>
      </c>
      <c r="I651" s="87" t="s">
        <v>389</v>
      </c>
      <c r="J651" s="80">
        <f t="shared" si="51"/>
        <v>3.3999999868683517E-3</v>
      </c>
      <c r="K651" s="67"/>
      <c r="L651" s="69"/>
      <c r="M651" s="8"/>
    </row>
    <row r="652" spans="1:13" s="3" customFormat="1" ht="12.2" customHeight="1" x14ac:dyDescent="0.15">
      <c r="A652" s="21"/>
      <c r="B652" s="22"/>
      <c r="C652" s="22"/>
      <c r="D652" s="22"/>
      <c r="E652" s="22"/>
      <c r="F652" s="86" t="s">
        <v>393</v>
      </c>
      <c r="G652" s="80">
        <f>L245</f>
        <v>1385018.53</v>
      </c>
      <c r="H652" s="80">
        <f>J599</f>
        <v>1385018.5326999999</v>
      </c>
      <c r="I652" s="87" t="s">
        <v>390</v>
      </c>
      <c r="J652" s="80">
        <f t="shared" si="51"/>
        <v>-2.699999837204814E-3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675000</v>
      </c>
      <c r="H656" s="80">
        <f>K267+K348</f>
        <v>675000</v>
      </c>
      <c r="I656" s="87" t="s">
        <v>400</v>
      </c>
      <c r="J656" s="80">
        <f t="shared" si="51"/>
        <v>0</v>
      </c>
      <c r="K656" s="67"/>
      <c r="L656" s="69"/>
      <c r="M656" s="9"/>
    </row>
    <row r="657" spans="1:13" s="3" customFormat="1" ht="12.2" customHeight="1" x14ac:dyDescent="0.15">
      <c r="F657" s="25" t="s">
        <v>122</v>
      </c>
      <c r="G657" s="13"/>
      <c r="H657" s="80">
        <f>SUM(G618:G656)-SUM(H618:H656)</f>
        <v>3.0000209808349609E-3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28388332.559999999</v>
      </c>
      <c r="G661" s="13">
        <f>(L230+L310+L360)</f>
        <v>9206839.443</v>
      </c>
      <c r="H661" s="13">
        <f>(L248+L329+L361)</f>
        <v>21316166.609999999</v>
      </c>
      <c r="I661" s="13">
        <f>SUM(F661:H661)</f>
        <v>58911338.612999998</v>
      </c>
      <c r="J661" s="13"/>
      <c r="K661" s="13"/>
      <c r="L661" s="13"/>
      <c r="M661" s="9"/>
    </row>
    <row r="662" spans="1:13" s="3" customFormat="1" ht="12.2" customHeight="1" x14ac:dyDescent="0.2">
      <c r="A662" s="1" t="s">
        <v>127</v>
      </c>
      <c r="F662" s="13">
        <f>(L359/IF(SUM(L359:L361)=0,1,SUM(L359:L361))*(SUM(G97:G110)))</f>
        <v>420262.22472523293</v>
      </c>
      <c r="G662" s="13">
        <f>(L360/IF(SUM(L359:L361)=0,1,SUM(L359:L361))*(SUM(G97:G110)))</f>
        <v>119361.56580464636</v>
      </c>
      <c r="H662" s="13">
        <f>(L361/IF(SUM(L359:L361)=0,1,SUM(L359:L361))*(SUM(G97:G110)))</f>
        <v>272441.93947012059</v>
      </c>
      <c r="I662" s="13">
        <f>SUM(F662:H662)</f>
        <v>812065.72999999986</v>
      </c>
      <c r="J662"/>
      <c r="K662" s="13"/>
      <c r="L662" s="13"/>
      <c r="M662" s="8"/>
    </row>
    <row r="663" spans="1:13" s="3" customFormat="1" ht="12.2" customHeight="1" x14ac:dyDescent="0.2">
      <c r="A663" s="1" t="s">
        <v>128</v>
      </c>
      <c r="F663" s="13">
        <f>(L209+L288)-(J209+J288)</f>
        <v>1749099.45</v>
      </c>
      <c r="G663" s="13">
        <f>(L227+L307)-(J227+J307)</f>
        <v>484954.5</v>
      </c>
      <c r="H663" s="13">
        <f>(L245+L326)-(J245+J326)</f>
        <v>1385270.98</v>
      </c>
      <c r="I663" s="13">
        <f>SUM(F663:H663)</f>
        <v>3619324.93</v>
      </c>
      <c r="J663"/>
      <c r="K663" s="13"/>
      <c r="L663" s="13"/>
      <c r="M663" s="9"/>
    </row>
    <row r="664" spans="1:13" s="3" customFormat="1" ht="12.2" customHeight="1" x14ac:dyDescent="0.15">
      <c r="A664" s="141" t="s">
        <v>129</v>
      </c>
      <c r="B664" s="124"/>
      <c r="C664" s="124"/>
      <c r="D664" s="124"/>
      <c r="E664" s="124"/>
      <c r="F664" s="142">
        <f>SUM(F576:F588)+SUM(H603:H605)+SUM(L612)</f>
        <v>755345.53</v>
      </c>
      <c r="G664" s="142">
        <f>SUM(G576:G588)+SUM(I603:I605)+L613</f>
        <v>514690.36999999994</v>
      </c>
      <c r="H664" s="142">
        <f>SUM(H576:H588)+SUM(J603:J605)+L614</f>
        <v>2305928.9899999998</v>
      </c>
      <c r="I664" s="13">
        <f>SUM(F664:H664)</f>
        <v>3575964.8899999997</v>
      </c>
      <c r="J664" s="13"/>
      <c r="K664" s="13"/>
      <c r="L664" s="13"/>
      <c r="M664" s="9"/>
    </row>
    <row r="665" spans="1:13" s="3" customFormat="1" ht="12.2" customHeight="1" x14ac:dyDescent="0.15">
      <c r="A665" s="1" t="s">
        <v>130</v>
      </c>
      <c r="F665" s="13">
        <f>F661-SUM(F662:F664)</f>
        <v>25463625.355274767</v>
      </c>
      <c r="G665" s="13">
        <f>G661-SUM(G662:G664)</f>
        <v>8087833.0071953535</v>
      </c>
      <c r="H665" s="13">
        <f>H661-SUM(H662:H664)</f>
        <v>17352524.700529881</v>
      </c>
      <c r="I665" s="13">
        <f>I661-SUM(I662:I664)</f>
        <v>50903983.063000001</v>
      </c>
      <c r="J665" s="13"/>
      <c r="K665" s="13"/>
      <c r="L665" s="13"/>
      <c r="M665" s="8"/>
    </row>
    <row r="666" spans="1:13" s="3" customFormat="1" ht="12.2" customHeight="1" x14ac:dyDescent="0.2">
      <c r="A666" s="1" t="s">
        <v>131</v>
      </c>
      <c r="F666" s="182">
        <v>1540.77</v>
      </c>
      <c r="G666" s="183">
        <v>424.8</v>
      </c>
      <c r="H666" s="183">
        <v>980.61</v>
      </c>
      <c r="I666" s="13">
        <f>SUM(F666:H666)</f>
        <v>2946.18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16526.560000000001</v>
      </c>
      <c r="G668" s="13">
        <f>ROUND(G665/G666,2)</f>
        <v>19039.150000000001</v>
      </c>
      <c r="H668" s="13">
        <f>ROUND(H665/H666,2)</f>
        <v>17695.64</v>
      </c>
      <c r="I668" s="13">
        <f>ROUND(I665/I666,2)</f>
        <v>17277.96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-47.33</v>
      </c>
      <c r="I671" s="13">
        <f>SUM(F671:H671)</f>
        <v>-47.33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16526.560000000001</v>
      </c>
      <c r="G673" s="13">
        <f>ROUND((G665+G670)/(G666+G671),2)</f>
        <v>19039.150000000001</v>
      </c>
      <c r="H673" s="13">
        <f>ROUND((H665+H670)/(H666+H671),2)</f>
        <v>18593.05</v>
      </c>
      <c r="I673" s="13">
        <f>ROUND((I665+I670)/(I666+I671),2)</f>
        <v>17560.060000000001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I15" sqref="I15"/>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72809.16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60224.91</v>
      </c>
      <c r="F9" s="271" t="s">
        <v>1612</v>
      </c>
    </row>
    <row r="10" spans="2:8" x14ac:dyDescent="0.25">
      <c r="B10" s="270"/>
      <c r="C10" s="270"/>
      <c r="D10" s="270"/>
      <c r="E10" s="270"/>
      <c r="F10" s="270"/>
    </row>
    <row r="11" spans="2:8" x14ac:dyDescent="0.25">
      <c r="B11" s="270"/>
      <c r="C11" s="274" t="s">
        <v>1616</v>
      </c>
      <c r="D11" s="271" t="s">
        <v>1619</v>
      </c>
      <c r="E11" s="259">
        <v>8828.3700000000008</v>
      </c>
      <c r="F11" s="271" t="s">
        <v>1613</v>
      </c>
    </row>
    <row r="12" spans="2:8" x14ac:dyDescent="0.25">
      <c r="B12" s="270"/>
      <c r="C12" s="270"/>
      <c r="D12" s="271"/>
      <c r="E12" s="270"/>
      <c r="F12" s="270"/>
    </row>
    <row r="13" spans="2:8" x14ac:dyDescent="0.25">
      <c r="B13" s="270"/>
      <c r="C13" s="271" t="s">
        <v>1606</v>
      </c>
      <c r="D13" s="271" t="s">
        <v>1620</v>
      </c>
      <c r="E13" s="259">
        <v>3755.88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52"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4"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Windham</v>
      </c>
      <c r="C5" s="321"/>
      <c r="D5" s="321"/>
      <c r="E5" s="321"/>
      <c r="F5" s="321"/>
    </row>
    <row r="8" spans="1:9" ht="18" x14ac:dyDescent="0.25">
      <c r="A8" s="239" t="s">
        <v>1548</v>
      </c>
      <c r="F8" s="246" t="s">
        <v>1566</v>
      </c>
    </row>
    <row r="9" spans="1:9" ht="15" x14ac:dyDescent="0.2">
      <c r="A9" s="237" t="s">
        <v>1549</v>
      </c>
      <c r="B9" s="240">
        <f>'DOE25'!G97</f>
        <v>812065.73</v>
      </c>
      <c r="F9" s="237" t="s">
        <v>1562</v>
      </c>
    </row>
    <row r="10" spans="1:9" ht="15" x14ac:dyDescent="0.2">
      <c r="A10" s="237" t="s">
        <v>1550</v>
      </c>
      <c r="B10" s="240">
        <f>'DOE25'!G112-'DOE25'!G97</f>
        <v>0</v>
      </c>
      <c r="F10" s="237" t="s">
        <v>1563</v>
      </c>
    </row>
    <row r="11" spans="1:9" ht="15" x14ac:dyDescent="0.2">
      <c r="A11" s="237" t="s">
        <v>1551</v>
      </c>
      <c r="B11" s="240">
        <f>'DOE25'!G140</f>
        <v>13898.62</v>
      </c>
      <c r="F11" s="237" t="s">
        <v>1564</v>
      </c>
    </row>
    <row r="12" spans="1:9" ht="15" x14ac:dyDescent="0.2">
      <c r="A12" s="237" t="s">
        <v>1552</v>
      </c>
      <c r="B12" s="240">
        <f>'DOE25'!G170</f>
        <v>289869.19</v>
      </c>
      <c r="F12" s="237" t="s">
        <v>1565</v>
      </c>
    </row>
    <row r="13" spans="1:9" ht="15" x14ac:dyDescent="0.2">
      <c r="A13" s="237" t="s">
        <v>1553</v>
      </c>
      <c r="B13" s="240">
        <f>'DOE25'!G193-'DOE25'!G180</f>
        <v>0</v>
      </c>
      <c r="F13" s="237" t="s">
        <v>1575</v>
      </c>
    </row>
    <row r="14" spans="1:9" ht="18" x14ac:dyDescent="0.25">
      <c r="A14" s="239" t="s">
        <v>732</v>
      </c>
      <c r="B14" s="241">
        <f>SUM(B9:B13)</f>
        <v>1115833.54</v>
      </c>
    </row>
    <row r="16" spans="1:9" ht="18" x14ac:dyDescent="0.25">
      <c r="A16" s="239" t="s">
        <v>783</v>
      </c>
      <c r="F16" s="246" t="s">
        <v>1567</v>
      </c>
    </row>
    <row r="17" spans="1:6" ht="15" x14ac:dyDescent="0.2">
      <c r="A17" s="237" t="s">
        <v>1554</v>
      </c>
      <c r="B17" s="240">
        <f>'DOE25'!L363-'DOE25'!L362</f>
        <v>1127237.9000000001</v>
      </c>
      <c r="F17" s="237" t="s">
        <v>1568</v>
      </c>
    </row>
    <row r="18" spans="1:6" ht="15" x14ac:dyDescent="0.2">
      <c r="A18" s="237" t="s">
        <v>1555</v>
      </c>
      <c r="B18" s="250"/>
      <c r="F18" s="246" t="s">
        <v>1592</v>
      </c>
    </row>
    <row r="19" spans="1:6" ht="18" x14ac:dyDescent="0.25">
      <c r="A19" s="239" t="s">
        <v>725</v>
      </c>
      <c r="B19" s="241">
        <f>SUM(B17:B18)</f>
        <v>1127237.9000000001</v>
      </c>
    </row>
    <row r="21" spans="1:6" ht="18.75" thickBot="1" x14ac:dyDescent="0.3">
      <c r="A21" s="239" t="s">
        <v>1556</v>
      </c>
    </row>
    <row r="22" spans="1:6" ht="18.75" thickTop="1" x14ac:dyDescent="0.25">
      <c r="A22" s="239" t="s">
        <v>1557</v>
      </c>
      <c r="B22" s="245">
        <f>B14-B19</f>
        <v>-11404.360000000102</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590039.43000000005</v>
      </c>
      <c r="F31" s="237" t="s">
        <v>1572</v>
      </c>
    </row>
    <row r="33" spans="1:6" ht="15" x14ac:dyDescent="0.2">
      <c r="A33" s="237" t="s">
        <v>1790</v>
      </c>
      <c r="B33" s="240">
        <f>'DOE25'!G477</f>
        <v>596415.0700000003</v>
      </c>
      <c r="F33" s="237" t="s">
        <v>1573</v>
      </c>
    </row>
    <row r="36" spans="1:6" ht="15" x14ac:dyDescent="0.2">
      <c r="A36" s="237" t="s">
        <v>1559</v>
      </c>
      <c r="B36" s="251">
        <v>90642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Windham</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13572454.249999998</v>
      </c>
      <c r="C9" s="166">
        <f>'DOE25'!G198+'DOE25'!G216+'DOE25'!G234+'DOE25'!G277+'DOE25'!G296+'DOE25'!G315</f>
        <v>6996631.790000001</v>
      </c>
    </row>
    <row r="10" spans="1:3" x14ac:dyDescent="0.2">
      <c r="A10" t="s">
        <v>772</v>
      </c>
      <c r="B10" s="176">
        <v>12539731.279999999</v>
      </c>
      <c r="C10" s="176">
        <v>6436901.25</v>
      </c>
    </row>
    <row r="11" spans="1:3" x14ac:dyDescent="0.2">
      <c r="A11" t="s">
        <v>773</v>
      </c>
      <c r="B11" s="176"/>
      <c r="C11" s="176"/>
    </row>
    <row r="12" spans="1:3" x14ac:dyDescent="0.2">
      <c r="A12" t="s">
        <v>774</v>
      </c>
      <c r="B12" s="176">
        <v>1032722.97</v>
      </c>
      <c r="C12" s="176">
        <v>559730.54</v>
      </c>
    </row>
    <row r="13" spans="1:3" x14ac:dyDescent="0.2">
      <c r="A13" t="str">
        <f>IF(B9=B13,IF(C9=C13,"Check Total OK","Check Total Error"),"Check Total Error")</f>
        <v>Check Total OK</v>
      </c>
      <c r="B13" s="168">
        <f>SUM(B10:B12)</f>
        <v>13572454.25</v>
      </c>
      <c r="C13" s="168">
        <f>SUM(C10:C12)</f>
        <v>6996631.79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4948365.41</v>
      </c>
      <c r="C18" s="166">
        <f>'DOE25'!G199+'DOE25'!G217+'DOE25'!G235+'DOE25'!G278+'DOE25'!G297+'DOE25'!G316</f>
        <v>2583732.7299999995</v>
      </c>
    </row>
    <row r="19" spans="1:3" x14ac:dyDescent="0.2">
      <c r="A19" t="s">
        <v>772</v>
      </c>
      <c r="B19" s="176">
        <v>2604877.29</v>
      </c>
      <c r="C19" s="176">
        <v>2008670.32</v>
      </c>
    </row>
    <row r="20" spans="1:3" x14ac:dyDescent="0.2">
      <c r="A20" t="s">
        <v>773</v>
      </c>
      <c r="B20" s="176">
        <v>1437784.52</v>
      </c>
      <c r="C20" s="176">
        <v>109990.52</v>
      </c>
    </row>
    <row r="21" spans="1:3" x14ac:dyDescent="0.2">
      <c r="A21" t="s">
        <v>774</v>
      </c>
      <c r="B21" s="176">
        <v>905703.6</v>
      </c>
      <c r="C21" s="176">
        <v>465071.89</v>
      </c>
    </row>
    <row r="22" spans="1:3" x14ac:dyDescent="0.2">
      <c r="A22" t="str">
        <f>IF(B18=B22,IF(C18=C22,"Check Total OK","Check Total Error"),"Check Total Error")</f>
        <v>Check Total OK</v>
      </c>
      <c r="B22" s="168">
        <f>SUM(B19:B21)</f>
        <v>4948365.41</v>
      </c>
      <c r="C22" s="168">
        <f>SUM(C19:C21)</f>
        <v>2583732.73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133583.9</v>
      </c>
      <c r="C27" s="171">
        <f>'DOE25'!G200+'DOE25'!G218+'DOE25'!G236+'DOE25'!G279+'DOE25'!G298+'DOE25'!G317</f>
        <v>62337.67</v>
      </c>
    </row>
    <row r="28" spans="1:3" x14ac:dyDescent="0.2">
      <c r="A28" t="s">
        <v>772</v>
      </c>
      <c r="B28" s="176">
        <v>133583.9</v>
      </c>
      <c r="C28" s="176">
        <v>62337.67</v>
      </c>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133583.9</v>
      </c>
      <c r="C31" s="168">
        <f>SUM(C28:C30)</f>
        <v>62337.67</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744166.80000000016</v>
      </c>
      <c r="C36" s="172">
        <f>'DOE25'!G201+'DOE25'!G219+'DOE25'!G237+'DOE25'!G280+'DOE25'!G299+'DOE25'!G318</f>
        <v>348929.7</v>
      </c>
    </row>
    <row r="37" spans="1:3" x14ac:dyDescent="0.2">
      <c r="A37" t="s">
        <v>772</v>
      </c>
      <c r="B37" s="176"/>
      <c r="C37" s="176"/>
    </row>
    <row r="38" spans="1:3" x14ac:dyDescent="0.2">
      <c r="A38" t="s">
        <v>773</v>
      </c>
      <c r="B38" s="176"/>
      <c r="C38" s="176"/>
    </row>
    <row r="39" spans="1:3" x14ac:dyDescent="0.2">
      <c r="A39" t="s">
        <v>774</v>
      </c>
      <c r="B39" s="176">
        <v>744166.8</v>
      </c>
      <c r="C39" s="176">
        <v>348929.7</v>
      </c>
    </row>
    <row r="40" spans="1:3" x14ac:dyDescent="0.2">
      <c r="A40" t="str">
        <f>IF(B36=B40,IF(C36=C40,"Check Total OK","Check Total Error"),"Check Total Error")</f>
        <v>Check Total OK</v>
      </c>
      <c r="B40" s="168">
        <f>SUM(B37:B39)</f>
        <v>744166.8</v>
      </c>
      <c r="C40" s="168">
        <f>SUM(C37:C39)</f>
        <v>348929.7</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Q44" sqref="Q4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Windham</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34303069.539999999</v>
      </c>
      <c r="D5" s="19">
        <f>SUM('DOE25'!L198:L201)+SUM('DOE25'!L216:L219)+SUM('DOE25'!L234:L237)-F5-G5-H5</f>
        <v>33859194.890000001</v>
      </c>
      <c r="E5" s="179"/>
      <c r="F5" s="180"/>
      <c r="G5" s="19">
        <f>SUM('DOE25'!J198:J201)+SUM('DOE25'!J216:J219)+SUM('DOE25'!J234:J237)</f>
        <v>272996.31999999995</v>
      </c>
      <c r="H5" s="19">
        <f>SUM('DOE25'!K198:K201)+SUM('DOE25'!K216:K219)+SUM('DOE25'!K234:K237)</f>
        <v>170878.33</v>
      </c>
      <c r="I5" s="191"/>
    </row>
    <row r="6" spans="1:9" x14ac:dyDescent="0.2">
      <c r="A6" s="31">
        <v>2100</v>
      </c>
      <c r="B6" t="s">
        <v>793</v>
      </c>
      <c r="C6" s="205">
        <f t="shared" si="0"/>
        <v>4734402.6500000004</v>
      </c>
      <c r="D6" s="19">
        <f>'DOE25'!L203+'DOE25'!L221+'DOE25'!L239-F6-G6-H6</f>
        <v>4701007.9300000006</v>
      </c>
      <c r="E6" s="179"/>
      <c r="F6" s="180"/>
      <c r="G6" s="19">
        <f>'DOE25'!J203+'DOE25'!J221+'DOE25'!J239</f>
        <v>18344.419999999998</v>
      </c>
      <c r="H6" s="19">
        <f>'DOE25'!K203+'DOE25'!K221+'DOE25'!K239</f>
        <v>15050.300000000001</v>
      </c>
      <c r="I6" s="191"/>
    </row>
    <row r="7" spans="1:9" x14ac:dyDescent="0.2">
      <c r="A7" s="31">
        <v>2200</v>
      </c>
      <c r="B7" t="s">
        <v>817</v>
      </c>
      <c r="C7" s="205">
        <f t="shared" si="0"/>
        <v>2830181.4800000004</v>
      </c>
      <c r="D7" s="19">
        <f>'DOE25'!L204+'DOE25'!L222+'DOE25'!L240-F7-G7-H7</f>
        <v>2391086.16</v>
      </c>
      <c r="E7" s="179"/>
      <c r="F7" s="180"/>
      <c r="G7" s="19">
        <f>'DOE25'!J204+'DOE25'!J222+'DOE25'!J240</f>
        <v>436075.83</v>
      </c>
      <c r="H7" s="19">
        <f>'DOE25'!K204+'DOE25'!K222+'DOE25'!K240</f>
        <v>3019.49</v>
      </c>
      <c r="I7" s="191"/>
    </row>
    <row r="8" spans="1:9" x14ac:dyDescent="0.2">
      <c r="A8" s="31">
        <v>2300</v>
      </c>
      <c r="B8" t="s">
        <v>794</v>
      </c>
      <c r="C8" s="205">
        <f t="shared" si="0"/>
        <v>2631842.37</v>
      </c>
      <c r="D8" s="179"/>
      <c r="E8" s="19">
        <f>'DOE25'!L205+'DOE25'!L223+'DOE25'!L241-F8-G8-H8-D9-D11</f>
        <v>2569805.92</v>
      </c>
      <c r="F8" s="180"/>
      <c r="G8" s="19">
        <f>'DOE25'!J205+'DOE25'!J223+'DOE25'!J241</f>
        <v>2411.73</v>
      </c>
      <c r="H8" s="19">
        <f>'DOE25'!K205+'DOE25'!K223+'DOE25'!K241</f>
        <v>59624.72</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2643134.0529999998</v>
      </c>
      <c r="D12" s="19">
        <f>'DOE25'!L206+'DOE25'!L224+'DOE25'!L242-F12-G12-H12</f>
        <v>2550580.5329999998</v>
      </c>
      <c r="E12" s="179"/>
      <c r="F12" s="180"/>
      <c r="G12" s="19">
        <f>'DOE25'!J206+'DOE25'!J224+'DOE25'!J242</f>
        <v>12200.929999999998</v>
      </c>
      <c r="H12" s="19">
        <f>'DOE25'!K206+'DOE25'!K224+'DOE25'!K242</f>
        <v>80352.59</v>
      </c>
      <c r="I12" s="191"/>
    </row>
    <row r="13" spans="1:9" x14ac:dyDescent="0.2">
      <c r="A13" s="31">
        <v>2500</v>
      </c>
      <c r="B13" t="s">
        <v>795</v>
      </c>
      <c r="C13" s="205">
        <f t="shared" si="0"/>
        <v>1036802.6199999999</v>
      </c>
      <c r="D13" s="179"/>
      <c r="E13" s="19">
        <f>'DOE25'!L207+'DOE25'!L225+'DOE25'!L243-F13-G13-H13</f>
        <v>1024496.6099999999</v>
      </c>
      <c r="F13" s="180"/>
      <c r="G13" s="19">
        <f>'DOE25'!J207+'DOE25'!J225+'DOE25'!J243</f>
        <v>0</v>
      </c>
      <c r="H13" s="19">
        <f>'DOE25'!K207+'DOE25'!K225+'DOE25'!K243</f>
        <v>12306.009999999998</v>
      </c>
      <c r="I13" s="191"/>
    </row>
    <row r="14" spans="1:9" x14ac:dyDescent="0.2">
      <c r="A14" s="31">
        <v>2600</v>
      </c>
      <c r="B14" t="s">
        <v>815</v>
      </c>
      <c r="C14" s="205">
        <f t="shared" si="0"/>
        <v>4658396.51</v>
      </c>
      <c r="D14" s="19">
        <f>'DOE25'!L208+'DOE25'!L226+'DOE25'!L244-F14-G14-H14</f>
        <v>4568753.46</v>
      </c>
      <c r="E14" s="179"/>
      <c r="F14" s="180"/>
      <c r="G14" s="19">
        <f>'DOE25'!J208+'DOE25'!J226+'DOE25'!J244</f>
        <v>89643.049999999988</v>
      </c>
      <c r="H14" s="19">
        <f>'DOE25'!K208+'DOE25'!K226+'DOE25'!K244</f>
        <v>0</v>
      </c>
      <c r="I14" s="191"/>
    </row>
    <row r="15" spans="1:9" x14ac:dyDescent="0.2">
      <c r="A15" s="31">
        <v>2700</v>
      </c>
      <c r="B15" t="s">
        <v>796</v>
      </c>
      <c r="C15" s="205">
        <f t="shared" si="0"/>
        <v>3618559.9299999997</v>
      </c>
      <c r="D15" s="19">
        <f>'DOE25'!L209+'DOE25'!L227+'DOE25'!L245-F15-G15-H15</f>
        <v>3618559.9299999997</v>
      </c>
      <c r="E15" s="179"/>
      <c r="F15" s="180"/>
      <c r="G15" s="19">
        <f>'DOE25'!J209+'DOE25'!J227+'DOE25'!J245</f>
        <v>0</v>
      </c>
      <c r="H15" s="19">
        <f>'DOE25'!K209+'DOE25'!K227+'DOE25'!K245</f>
        <v>0</v>
      </c>
      <c r="I15" s="191"/>
    </row>
    <row r="16" spans="1:9" x14ac:dyDescent="0.2">
      <c r="A16" s="31">
        <v>2800</v>
      </c>
      <c r="B16" t="s">
        <v>797</v>
      </c>
      <c r="C16" s="205">
        <f t="shared" si="0"/>
        <v>7541.48</v>
      </c>
      <c r="D16" s="179"/>
      <c r="E16" s="19">
        <f>'DOE25'!L210+'DOE25'!L228+'DOE25'!L246-F16-G16-H16</f>
        <v>7541.48</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890576.48</v>
      </c>
      <c r="D22" s="179"/>
      <c r="E22" s="179"/>
      <c r="F22" s="179"/>
      <c r="G22" s="19">
        <f>'DOE25'!L256+'DOE25'!L337</f>
        <v>890576.48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4614650</v>
      </c>
      <c r="D25" s="179"/>
      <c r="E25" s="179"/>
      <c r="F25" s="190"/>
      <c r="G25" s="179"/>
      <c r="H25" s="179"/>
      <c r="I25" s="189">
        <f>'DOE25'!L261+'DOE25'!L262+'DOE25'!L342+'DOE25'!L343</f>
        <v>4614650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653639.94000000018</v>
      </c>
      <c r="D29" s="211">
        <f>'DOE25'!L359+'DOE25'!L360+'DOE25'!L361-'DOE25'!I368-F29-G29-H29-F39</f>
        <v>602143.87000000023</v>
      </c>
      <c r="E29" s="179"/>
      <c r="F29" s="179"/>
      <c r="G29" s="19">
        <f>'DOE25'!J359+'DOE25'!J360+'DOE25'!J361</f>
        <v>50003.619999999995</v>
      </c>
      <c r="H29" s="19">
        <f>'DOE25'!K359+'DOE25'!K360+'DOE25'!K361</f>
        <v>1492.45</v>
      </c>
      <c r="I29" s="191"/>
    </row>
    <row r="30" spans="1:9" x14ac:dyDescent="0.2">
      <c r="A30" s="31"/>
      <c r="C30" s="206"/>
      <c r="D30" s="19"/>
      <c r="F30" s="200"/>
      <c r="G30" s="19"/>
      <c r="H30" s="19"/>
      <c r="I30" s="191"/>
    </row>
    <row r="31" spans="1:9" x14ac:dyDescent="0.2">
      <c r="A31" s="31" t="s">
        <v>814</v>
      </c>
      <c r="B31" t="s">
        <v>813</v>
      </c>
      <c r="C31" s="205">
        <f>SUM(D31:I31)</f>
        <v>1320170.08</v>
      </c>
      <c r="D31" s="19">
        <f>'DOE25'!L291+'DOE25'!L310+'DOE25'!L329+'DOE25'!L334+'DOE25'!L335+'DOE25'!L336-F31-G31-H31</f>
        <v>1084510.21</v>
      </c>
      <c r="E31" s="179"/>
      <c r="F31" s="180"/>
      <c r="G31" s="19">
        <f>'DOE25'!J291+'DOE25'!J310+'DOE25'!J329+'DOE25'!J334+'DOE25'!J335+'DOE25'!J336</f>
        <v>165658.76</v>
      </c>
      <c r="H31" s="19">
        <f>'DOE25'!K291+'DOE25'!K310+'DOE25'!K329+'DOE25'!K334+'DOE25'!K335+'DOE25'!K336</f>
        <v>70001.11</v>
      </c>
      <c r="I31" s="191"/>
    </row>
    <row r="32" spans="1:9" ht="12" thickBot="1" x14ac:dyDescent="0.25">
      <c r="C32" s="206"/>
      <c r="G32" s="187"/>
      <c r="H32" s="187"/>
      <c r="I32" s="193"/>
    </row>
    <row r="33" spans="1:9" ht="12" thickTop="1" x14ac:dyDescent="0.2">
      <c r="B33" t="s">
        <v>806</v>
      </c>
      <c r="D33" s="181">
        <f t="shared" ref="D33:I33" si="1">SUM(D5:D31)</f>
        <v>53375836.983000003</v>
      </c>
      <c r="E33" s="181">
        <f t="shared" si="1"/>
        <v>3601844.01</v>
      </c>
      <c r="F33" s="181">
        <f t="shared" si="1"/>
        <v>0</v>
      </c>
      <c r="G33" s="181">
        <f t="shared" si="1"/>
        <v>1937911.14</v>
      </c>
      <c r="H33" s="181">
        <f t="shared" si="1"/>
        <v>412724.99999999994</v>
      </c>
      <c r="I33" s="181">
        <f t="shared" si="1"/>
        <v>4614650</v>
      </c>
    </row>
    <row r="34" spans="1:9" ht="12" thickBot="1" x14ac:dyDescent="0.25"/>
    <row r="35" spans="1:9" ht="12" thickBot="1" x14ac:dyDescent="0.25">
      <c r="B35" s="187" t="s">
        <v>827</v>
      </c>
      <c r="D35" s="188">
        <f>E33</f>
        <v>3601844.01</v>
      </c>
      <c r="E35" s="184"/>
      <c r="F35" s="294" t="s">
        <v>1596</v>
      </c>
      <c r="G35" s="295"/>
      <c r="H35" s="295"/>
      <c r="I35" s="296"/>
    </row>
    <row r="36" spans="1:9" ht="12" thickTop="1" x14ac:dyDescent="0.2">
      <c r="B36" t="s">
        <v>807</v>
      </c>
      <c r="D36" s="19">
        <f>D33</f>
        <v>53375836.983000003</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5" zoomScale="75" zoomScaleNormal="75" workbookViewId="0">
      <selection activeCell="E41" sqref="E4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Windham</v>
      </c>
      <c r="B2">
        <f>'DOE25'!B2</f>
        <v>575</v>
      </c>
      <c r="J2" s="223" t="s">
        <v>1799</v>
      </c>
      <c r="K2" s="308">
        <f>SUM('DOE25'!L198:L201)+SUM('DOE25'!L277:L280)</f>
        <v>16915164.600000001</v>
      </c>
      <c r="L2" s="308">
        <f>'DOE25'!L203+'DOE25'!L282</f>
        <v>2403396</v>
      </c>
      <c r="M2" s="308">
        <f>'DOE25'!L204+'DOE25'!L283</f>
        <v>1431496.85</v>
      </c>
      <c r="N2" s="308">
        <f>'DOE25'!L206+'DOE25'!L285</f>
        <v>1225096.3599999999</v>
      </c>
      <c r="O2" s="316">
        <f>'Salaries-Benefits'!B10+'Salaries-Benefits'!B12+'Salaries-Benefits'!B19+'Salaries-Benefits'!B21+'Salaries-Benefits'!B28+'Salaries-Benefits'!B30+'Salaries-Benefits'!B37+'Salaries-Benefits'!B39</f>
        <v>17960785.84</v>
      </c>
      <c r="P2" s="316">
        <f>'Salaries-Benefits'!B11+'Salaries-Benefits'!B20+'Salaries-Benefits'!B29+'Salaries-Benefits'!B38</f>
        <v>1437784.52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27804961.670000002</v>
      </c>
      <c r="G4" s="228">
        <f>'DOE25'!L212+'DOE25'!L291</f>
        <v>27804961.669999998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361573.91</v>
      </c>
      <c r="E5" s="219"/>
      <c r="F5" s="231">
        <f>D5+E5</f>
        <v>361573.91</v>
      </c>
      <c r="G5" s="222"/>
      <c r="H5" s="222"/>
      <c r="J5" s="71" t="s">
        <v>1840</v>
      </c>
      <c r="K5" s="20"/>
      <c r="L5" s="20"/>
      <c r="M5" s="20"/>
      <c r="N5" s="20"/>
      <c r="O5" s="20"/>
      <c r="P5" s="20"/>
      <c r="Q5" s="20"/>
    </row>
    <row r="6" spans="1:22" x14ac:dyDescent="0.2">
      <c r="A6" t="str" cm="1">
        <f t="array" ref="A6">IFERROR(INDEX('School Tables'!$A$4:$G$365,'School Tables'!$J4,3),"")</f>
        <v>Golden Brook Elementary School</v>
      </c>
      <c r="B6" s="229">
        <f>IFERROR(VLOOKUP(A6,'School Tables'!$C$3:$D$365,2,FALSE),"")</f>
        <v>21130</v>
      </c>
      <c r="C6" s="222" t="str">
        <f>IFERROR(INDEX('School Tables'!$B$3:$B$365,MATCH('School Level Expenditures'!B6,'School Tables'!$D$3:$D$365,0)),"")</f>
        <v>Windham</v>
      </c>
      <c r="D6" s="219">
        <v>19594878.25</v>
      </c>
      <c r="E6" s="219">
        <v>368670.41</v>
      </c>
      <c r="F6" s="231">
        <f t="shared" ref="F6:F20" si="2">D6+E6</f>
        <v>19963548.66</v>
      </c>
      <c r="G6" s="222"/>
      <c r="H6" s="222"/>
      <c r="J6" t="str">
        <f t="shared" ref="J6:J20" si="3">A6</f>
        <v>Golden Brook Elementary School</v>
      </c>
      <c r="K6" s="20">
        <v>12348070.16</v>
      </c>
      <c r="L6" s="20">
        <v>1754479.08</v>
      </c>
      <c r="M6" s="307">
        <v>1044992.7</v>
      </c>
      <c r="N6" s="20">
        <v>894320.34</v>
      </c>
      <c r="O6" s="20">
        <v>7086243.5700000003</v>
      </c>
      <c r="P6" s="20">
        <v>803561.72</v>
      </c>
      <c r="Q6" s="20">
        <v>110335.32</v>
      </c>
    </row>
    <row r="7" spans="1:22" x14ac:dyDescent="0.2">
      <c r="A7" t="str" cm="1">
        <f t="array" ref="A7">IFERROR(INDEX('School Tables'!$A$4:$G$365,'School Tables'!$J5,3),"")</f>
        <v>Windham Center School</v>
      </c>
      <c r="B7" s="229">
        <f>IFERROR(VLOOKUP(A7,'School Tables'!$C$3:$D$365,2,FALSE),"")</f>
        <v>21135</v>
      </c>
      <c r="C7" s="222" t="str">
        <f>IFERROR(INDEX('School Tables'!$B$3:$B$365,MATCH('School Level Expenditures'!B7,'School Tables'!$D$3:$D$365,0)),"")</f>
        <v>Windham</v>
      </c>
      <c r="D7" s="219">
        <v>7312733.6299999999</v>
      </c>
      <c r="E7" s="219">
        <v>167105.47</v>
      </c>
      <c r="F7" s="231">
        <f t="shared" si="2"/>
        <v>7479839.0999999996</v>
      </c>
      <c r="G7" s="222"/>
      <c r="H7" s="222"/>
      <c r="J7" t="str">
        <f t="shared" si="3"/>
        <v>Windham Center School</v>
      </c>
      <c r="K7" s="20">
        <v>4567094.4400000004</v>
      </c>
      <c r="L7" s="20">
        <v>648916.92000000004</v>
      </c>
      <c r="M7" s="307">
        <v>386504.15</v>
      </c>
      <c r="N7" s="20">
        <v>330776.02</v>
      </c>
      <c r="O7" s="20">
        <v>3948094.92</v>
      </c>
      <c r="P7" s="20">
        <v>187814.21</v>
      </c>
      <c r="Q7" s="20">
        <v>76925.570000000007</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27269185.789999999</v>
      </c>
      <c r="E21" s="261">
        <f>SUM(E5:E20)</f>
        <v>535775.88</v>
      </c>
      <c r="F21" s="216"/>
      <c r="G21" s="216"/>
      <c r="H21" s="216"/>
      <c r="K21" s="262">
        <f t="shared" ref="K21:Q21" si="4">SUM(K5:K20)</f>
        <v>16915164.600000001</v>
      </c>
      <c r="L21" s="262">
        <f t="shared" si="4"/>
        <v>2403396</v>
      </c>
      <c r="M21" s="262">
        <f t="shared" si="4"/>
        <v>1431496.85</v>
      </c>
      <c r="N21" s="262">
        <f t="shared" si="4"/>
        <v>1225096.3599999999</v>
      </c>
      <c r="O21" s="262">
        <f t="shared" si="4"/>
        <v>11034338.49</v>
      </c>
      <c r="P21" s="262">
        <f t="shared" si="4"/>
        <v>991375.92999999993</v>
      </c>
      <c r="Q21" s="262">
        <f t="shared" si="4"/>
        <v>187260.89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5433913.0599999996</v>
      </c>
      <c r="L23" s="19">
        <f>'DOE25'!L221+'DOE25'!L301</f>
        <v>774972.97000000009</v>
      </c>
      <c r="M23" s="19">
        <f>'DOE25'!L222+'DOE25'!L302</f>
        <v>408152.79999999993</v>
      </c>
      <c r="N23" s="19">
        <f>'DOE25'!L224+'DOE25'!L304</f>
        <v>531261.95299999986</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-2.9999999096617103E-3</v>
      </c>
    </row>
    <row r="25" spans="1:17" ht="61.5" customHeight="1" thickBot="1" x14ac:dyDescent="0.25">
      <c r="A25" s="223" t="s">
        <v>1527</v>
      </c>
      <c r="B25" s="223" t="s">
        <v>1528</v>
      </c>
      <c r="C25" s="223" t="s">
        <v>893</v>
      </c>
      <c r="D25" s="223" t="s">
        <v>783</v>
      </c>
      <c r="E25" s="223" t="s">
        <v>783</v>
      </c>
      <c r="F25" s="232">
        <f>SUM(F26:F33)</f>
        <v>9041152.2599999998</v>
      </c>
      <c r="G25" s="228">
        <f>'DOE25'!L230+'DOE25'!L310</f>
        <v>9041152.2630000003</v>
      </c>
      <c r="H25" s="263">
        <f>F25-G25</f>
        <v>-3.0000004917383194E-3</v>
      </c>
      <c r="I25" s="313" t="str">
        <f>IF(H25=0,"","ERROR!! Please review pages 8 and 12 totals in comparison with total on this page")</f>
        <v>ERROR!! Please review pages 8 and 12 totals in comparison with total on this page</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401905.73</v>
      </c>
      <c r="E26" s="219"/>
      <c r="F26" s="231">
        <f>D26+E26</f>
        <v>401905.73</v>
      </c>
      <c r="G26" s="222"/>
      <c r="H26" s="222"/>
      <c r="J26" s="71" t="s">
        <v>1840</v>
      </c>
      <c r="K26" s="315"/>
      <c r="L26" s="315"/>
      <c r="M26" s="315"/>
      <c r="N26" s="315"/>
      <c r="O26" s="315"/>
      <c r="P26" s="315"/>
      <c r="Q26" s="315"/>
    </row>
    <row r="27" spans="1:17" x14ac:dyDescent="0.2">
      <c r="A27" t="str" cm="1">
        <f t="array" ref="A27">IFERROR(INDEX('School Tables'!$L$4:$R$100,'School Tables'!$U4,3),"")</f>
        <v>Windham Middle School</v>
      </c>
      <c r="B27" s="229">
        <f>IFERROR(VLOOKUP(A27,'School Tables'!$N$4:$O$100,2,FALSE),"")</f>
        <v>21125</v>
      </c>
      <c r="C27" s="222" t="str">
        <f>IFERROR(INDEX('School Tables'!$M$4:$M$100,MATCH('School Level Expenditures'!A27,'School Tables'!$N$4:$N$100,0)),"")</f>
        <v>Windham</v>
      </c>
      <c r="D27" s="219">
        <v>8433369.6199999992</v>
      </c>
      <c r="E27" s="219">
        <v>205876.91</v>
      </c>
      <c r="F27" s="231">
        <f t="shared" ref="F27:F33" si="6">D27+E27</f>
        <v>8639246.5299999993</v>
      </c>
      <c r="G27" s="222"/>
      <c r="H27" s="222"/>
      <c r="J27" t="str">
        <f t="shared" ref="J27:J33" si="7">A27</f>
        <v>Windham Middle School</v>
      </c>
      <c r="K27" s="20">
        <v>5433913.0599999996</v>
      </c>
      <c r="L27" s="20">
        <v>774972.97</v>
      </c>
      <c r="M27" s="307">
        <v>408152.8</v>
      </c>
      <c r="N27" s="20">
        <v>531261.94999999995</v>
      </c>
      <c r="O27" s="20">
        <v>342131.79</v>
      </c>
      <c r="P27" s="20">
        <v>189193.79</v>
      </c>
      <c r="Q27" s="20">
        <v>105747.57</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8835275.3499999996</v>
      </c>
      <c r="E34" s="261">
        <f>SUM(E26:E33)</f>
        <v>205876.91</v>
      </c>
      <c r="F34" s="216"/>
      <c r="G34" s="216"/>
      <c r="H34" s="216"/>
      <c r="K34" s="262">
        <f t="shared" ref="K34:Q34" si="8">SUM(K26:K33)</f>
        <v>5433913.0599999996</v>
      </c>
      <c r="L34" s="262">
        <f t="shared" si="8"/>
        <v>774972.97</v>
      </c>
      <c r="M34" s="262">
        <f t="shared" si="8"/>
        <v>408152.8</v>
      </c>
      <c r="N34" s="262">
        <f>SUM(N26:N33)</f>
        <v>531261.94999999995</v>
      </c>
      <c r="O34" s="262">
        <f t="shared" si="8"/>
        <v>342131.79</v>
      </c>
      <c r="P34" s="262">
        <f t="shared" si="8"/>
        <v>189193.79</v>
      </c>
      <c r="Q34" s="262">
        <f t="shared" si="8"/>
        <v>105747.57</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12898097.060000001</v>
      </c>
      <c r="L36" s="19">
        <f>'DOE25'!L239+'DOE25'!L320</f>
        <v>1625751.39</v>
      </c>
      <c r="M36" s="19">
        <f>'DOE25'!L240+'DOE25'!L321</f>
        <v>1171228.47</v>
      </c>
      <c r="N36" s="19">
        <f>'DOE25'!L242+'DOE25'!L323</f>
        <v>891692.54</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20937986.779999997</v>
      </c>
      <c r="G38" s="228">
        <f>'DOE25'!L248+'DOE25'!L329</f>
        <v>20937986.780000001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3062285.16</v>
      </c>
      <c r="E39" s="219"/>
      <c r="F39" s="231">
        <f t="shared" ref="F39:F44" si="10">D39+E39</f>
        <v>3062285.16</v>
      </c>
      <c r="G39" s="222"/>
      <c r="H39" s="222"/>
      <c r="J39" s="71" t="s">
        <v>1840</v>
      </c>
      <c r="K39" s="315"/>
      <c r="L39" s="315"/>
      <c r="M39" s="315"/>
      <c r="N39" s="315"/>
      <c r="O39" s="315"/>
      <c r="P39" s="315"/>
      <c r="Q39" s="315"/>
    </row>
    <row r="40" spans="1:17" x14ac:dyDescent="0.2">
      <c r="A40" t="str" cm="1">
        <f t="array" ref="A40">IFERROR(INDEX('School Tables'!$W$4:$AC$120,'School Tables'!$AF4,3),"")</f>
        <v>Windham High School</v>
      </c>
      <c r="B40" s="229">
        <f>IFERROR(VLOOKUP(A40,'School Tables'!$Y$4:$Z$120,2,FALSE),"")</f>
        <v>28640</v>
      </c>
      <c r="C40" s="222" t="str">
        <f>IFERROR(INDEX('School Tables'!$X$4:$X$120,MATCH('School Level Expenditures'!A40,'School Tables'!$Y$4:$Y$120,0)),"")</f>
        <v>Windham</v>
      </c>
      <c r="D40" s="219">
        <v>17492627.989999998</v>
      </c>
      <c r="E40" s="219">
        <v>383073.63</v>
      </c>
      <c r="F40" s="231">
        <f t="shared" si="10"/>
        <v>17875701.619999997</v>
      </c>
      <c r="G40" s="222"/>
      <c r="H40" s="222"/>
      <c r="J40" t="str">
        <f>A40</f>
        <v>Windham High School</v>
      </c>
      <c r="K40" s="20">
        <v>12898097.060000001</v>
      </c>
      <c r="L40" s="20">
        <v>1625751.39</v>
      </c>
      <c r="M40" s="307">
        <v>1171228.47</v>
      </c>
      <c r="N40" s="20">
        <v>891692.54</v>
      </c>
      <c r="O40" s="20">
        <v>6584315.5599999996</v>
      </c>
      <c r="P40" s="20">
        <v>257214.8</v>
      </c>
      <c r="Q40" s="20">
        <v>125324.82</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20554913.149999999</v>
      </c>
      <c r="E45" s="262">
        <f>SUM(E39:E44)</f>
        <v>383073.63</v>
      </c>
      <c r="K45" s="262">
        <f t="shared" ref="K45:Q45" si="11">SUM(K39:K44)</f>
        <v>12898097.060000001</v>
      </c>
      <c r="L45" s="262">
        <f t="shared" si="11"/>
        <v>1625751.39</v>
      </c>
      <c r="M45" s="262">
        <f t="shared" si="11"/>
        <v>1171228.47</v>
      </c>
      <c r="N45" s="262">
        <f t="shared" si="11"/>
        <v>891692.54</v>
      </c>
      <c r="O45" s="262">
        <f t="shared" si="11"/>
        <v>6584315.5599999996</v>
      </c>
      <c r="P45" s="262">
        <f t="shared" si="11"/>
        <v>257214.8</v>
      </c>
      <c r="Q45" s="262">
        <f t="shared" si="11"/>
        <v>125324.82</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N42" sqref="N4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Windham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4336099.53</v>
      </c>
      <c r="D8" s="73">
        <f>'DOE25'!G9</f>
        <v>0</v>
      </c>
      <c r="E8" s="73">
        <f>'DOE25'!H9</f>
        <v>25378.15</v>
      </c>
      <c r="F8" s="73">
        <f>'DOE25'!I9</f>
        <v>0</v>
      </c>
      <c r="G8" s="73">
        <f>'DOE25'!J9</f>
        <v>0</v>
      </c>
      <c r="H8" s="13">
        <f>SUM(C8:G8)</f>
        <v>4361477.6800000006</v>
      </c>
      <c r="I8" s="90"/>
    </row>
    <row r="9" spans="1:9" x14ac:dyDescent="0.2">
      <c r="A9" s="1" t="s">
        <v>140</v>
      </c>
      <c r="B9" s="6">
        <v>110</v>
      </c>
      <c r="C9" s="73">
        <f>'DOE25'!F10</f>
        <v>0</v>
      </c>
      <c r="D9" s="73">
        <f>'DOE25'!G10</f>
        <v>0</v>
      </c>
      <c r="E9" s="73">
        <f>'DOE25'!H10</f>
        <v>0</v>
      </c>
      <c r="F9" s="73">
        <f>'DOE25'!I10</f>
        <v>0</v>
      </c>
      <c r="G9" s="73">
        <f>'DOE25'!J10</f>
        <v>1414455.21</v>
      </c>
      <c r="H9" s="13">
        <f t="shared" ref="H9:H18" si="0">SUM(C9:G9)</f>
        <v>1414455.21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916858</v>
      </c>
      <c r="D11" s="73">
        <f>'DOE25'!G12</f>
        <v>607181.86</v>
      </c>
      <c r="E11" s="73">
        <f>'DOE25'!H12</f>
        <v>458540.77</v>
      </c>
      <c r="F11" s="73">
        <f>'DOE25'!I12</f>
        <v>0</v>
      </c>
      <c r="G11" s="73">
        <f>'DOE25'!J12</f>
        <v>0</v>
      </c>
      <c r="H11" s="13">
        <f t="shared" si="0"/>
        <v>1982580.63</v>
      </c>
      <c r="I11" s="90"/>
    </row>
    <row r="12" spans="1:9" x14ac:dyDescent="0.2">
      <c r="A12" s="1" t="s">
        <v>143</v>
      </c>
      <c r="B12" s="6">
        <v>140</v>
      </c>
      <c r="C12" s="73">
        <f>'DOE25'!F13</f>
        <v>0</v>
      </c>
      <c r="D12" s="73">
        <f>'DOE25'!G13</f>
        <v>6794.07</v>
      </c>
      <c r="E12" s="73">
        <f>'DOE25'!H13</f>
        <v>219328.91</v>
      </c>
      <c r="F12" s="73">
        <f>'DOE25'!I13</f>
        <v>0</v>
      </c>
      <c r="G12" s="73">
        <f>'DOE25'!J13</f>
        <v>0</v>
      </c>
      <c r="H12" s="13">
        <f t="shared" si="0"/>
        <v>226122.98</v>
      </c>
      <c r="I12" s="90"/>
    </row>
    <row r="13" spans="1:9" x14ac:dyDescent="0.2">
      <c r="A13" s="1" t="s">
        <v>144</v>
      </c>
      <c r="B13" s="6">
        <v>150</v>
      </c>
      <c r="C13" s="73">
        <f>'DOE25'!F14</f>
        <v>46568.959999999999</v>
      </c>
      <c r="D13" s="73">
        <f>'DOE25'!G14</f>
        <v>0</v>
      </c>
      <c r="E13" s="73">
        <f>'DOE25'!H14</f>
        <v>0</v>
      </c>
      <c r="F13" s="73">
        <f>'DOE25'!I14</f>
        <v>0</v>
      </c>
      <c r="G13" s="73">
        <f>'DOE25'!J14</f>
        <v>0</v>
      </c>
      <c r="H13" s="13">
        <f t="shared" si="0"/>
        <v>46568.959999999999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41533.25</v>
      </c>
      <c r="E15" s="73">
        <f>'DOE25'!H16</f>
        <v>0</v>
      </c>
      <c r="F15" s="73">
        <f>'DOE25'!I16</f>
        <v>0</v>
      </c>
      <c r="G15" s="23" t="s">
        <v>288</v>
      </c>
      <c r="H15" s="13">
        <f t="shared" si="0"/>
        <v>41533.25</v>
      </c>
      <c r="I15" s="90"/>
    </row>
    <row r="16" spans="1:9" x14ac:dyDescent="0.2">
      <c r="A16" s="1" t="s">
        <v>147</v>
      </c>
      <c r="B16" s="6">
        <v>180</v>
      </c>
      <c r="C16" s="73">
        <f>'DOE25'!F17</f>
        <v>15369.29</v>
      </c>
      <c r="D16" s="73">
        <f>'DOE25'!G17</f>
        <v>958</v>
      </c>
      <c r="E16" s="73">
        <f>'DOE25'!H17</f>
        <v>0</v>
      </c>
      <c r="F16" s="73">
        <f>'DOE25'!I17</f>
        <v>0</v>
      </c>
      <c r="G16" s="73">
        <f>'DOE25'!J17</f>
        <v>0</v>
      </c>
      <c r="H16" s="13">
        <f t="shared" si="0"/>
        <v>16327.29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5314895.78</v>
      </c>
      <c r="D18" s="38">
        <f>SUM(D8:D17)</f>
        <v>656467.17999999993</v>
      </c>
      <c r="E18" s="38">
        <f>SUM(E8:E17)</f>
        <v>703247.83000000007</v>
      </c>
      <c r="F18" s="38">
        <f>SUM(F8:F17)</f>
        <v>0</v>
      </c>
      <c r="G18" s="38">
        <f>SUM(G8:G17)</f>
        <v>1414455.21</v>
      </c>
      <c r="H18" s="38">
        <f t="shared" si="0"/>
        <v>8089066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1689318</v>
      </c>
      <c r="D21" s="73">
        <f>'DOE25'!G22</f>
        <v>0</v>
      </c>
      <c r="E21" s="73">
        <f>'DOE25'!H22</f>
        <v>219328.91</v>
      </c>
      <c r="F21" s="73">
        <f>'DOE25'!I22</f>
        <v>0</v>
      </c>
      <c r="G21" s="73">
        <f>'DOE25'!J22</f>
        <v>0</v>
      </c>
      <c r="H21" s="13">
        <f t="shared" ref="H21:H31" si="1">SUM(C21:G21)</f>
        <v>1908646.91</v>
      </c>
      <c r="I21" s="90"/>
    </row>
    <row r="22" spans="1:9" x14ac:dyDescent="0.2">
      <c r="A22" s="1" t="s">
        <v>151</v>
      </c>
      <c r="B22" s="6">
        <v>410</v>
      </c>
      <c r="C22" s="73">
        <f>'DOE25'!F23</f>
        <v>39517</v>
      </c>
      <c r="D22" s="73">
        <f>'DOE25'!G23</f>
        <v>0</v>
      </c>
      <c r="E22" s="73">
        <f>'DOE25'!H23</f>
        <v>0</v>
      </c>
      <c r="F22" s="73">
        <f>'DOE25'!I23</f>
        <v>0</v>
      </c>
      <c r="G22" s="73">
        <f>'DOE25'!J23</f>
        <v>0</v>
      </c>
      <c r="H22" s="13">
        <f t="shared" si="1"/>
        <v>39517</v>
      </c>
      <c r="I22" s="90"/>
    </row>
    <row r="23" spans="1:9" x14ac:dyDescent="0.2">
      <c r="A23" s="1" t="s">
        <v>152</v>
      </c>
      <c r="B23" s="6">
        <v>420</v>
      </c>
      <c r="C23" s="73">
        <f>'DOE25'!F24</f>
        <v>277000.28999999998</v>
      </c>
      <c r="D23" s="73">
        <f>'DOE25'!G24</f>
        <v>564.99</v>
      </c>
      <c r="E23" s="73">
        <f>'DOE25'!H24</f>
        <v>0</v>
      </c>
      <c r="F23" s="73">
        <f>'DOE25'!I24</f>
        <v>0</v>
      </c>
      <c r="G23" s="73">
        <f>'DOE25'!J24</f>
        <v>0</v>
      </c>
      <c r="H23" s="13">
        <f t="shared" si="1"/>
        <v>277565.27999999997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1107977.67</v>
      </c>
      <c r="D27" s="73">
        <f>'DOE25'!G28</f>
        <v>0</v>
      </c>
      <c r="E27" s="73">
        <f>'DOE25'!H28</f>
        <v>0</v>
      </c>
      <c r="F27" s="73">
        <f>'DOE25'!I28</f>
        <v>0</v>
      </c>
      <c r="G27" s="23" t="s">
        <v>288</v>
      </c>
      <c r="H27" s="13">
        <f t="shared" si="1"/>
        <v>1107977.67</v>
      </c>
      <c r="I27" s="90"/>
    </row>
    <row r="28" spans="1:9" x14ac:dyDescent="0.2">
      <c r="A28" s="1" t="s">
        <v>157</v>
      </c>
      <c r="B28" s="6">
        <v>470</v>
      </c>
      <c r="C28" s="73">
        <f>'DOE25'!F29</f>
        <v>44171.53</v>
      </c>
      <c r="D28" s="73">
        <f>'DOE25'!G29</f>
        <v>2617.79</v>
      </c>
      <c r="E28" s="73">
        <f>'DOE25'!H29</f>
        <v>28724.17</v>
      </c>
      <c r="F28" s="73">
        <f>'DOE25'!I29</f>
        <v>0</v>
      </c>
      <c r="G28" s="23" t="s">
        <v>288</v>
      </c>
      <c r="H28" s="13">
        <f t="shared" si="1"/>
        <v>75513.489999999991</v>
      </c>
      <c r="I28" s="90"/>
    </row>
    <row r="29" spans="1:9" x14ac:dyDescent="0.2">
      <c r="A29" s="1" t="s">
        <v>158</v>
      </c>
      <c r="B29" s="6">
        <v>480</v>
      </c>
      <c r="C29" s="73">
        <f>'DOE25'!F30</f>
        <v>16775</v>
      </c>
      <c r="D29" s="73">
        <f>'DOE25'!G30</f>
        <v>56869.33</v>
      </c>
      <c r="E29" s="73">
        <f>'DOE25'!H30</f>
        <v>0</v>
      </c>
      <c r="F29" s="73">
        <f>'DOE25'!I30</f>
        <v>0</v>
      </c>
      <c r="G29" s="23" t="s">
        <v>288</v>
      </c>
      <c r="H29" s="13">
        <f t="shared" si="1"/>
        <v>73644.33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3174759.4899999998</v>
      </c>
      <c r="D31" s="38">
        <f>SUM(D21:D30)</f>
        <v>60052.11</v>
      </c>
      <c r="E31" s="38">
        <f>SUM(E21:E30)</f>
        <v>248053.08000000002</v>
      </c>
      <c r="F31" s="38">
        <f>SUM(F21:F30)</f>
        <v>0</v>
      </c>
      <c r="G31" s="38">
        <f>SUM(G21:G30)</f>
        <v>0</v>
      </c>
      <c r="H31" s="38">
        <f t="shared" si="1"/>
        <v>3482864.6799999997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41533.25</v>
      </c>
      <c r="E34" s="73">
        <f>'DOE25'!H35</f>
        <v>0</v>
      </c>
      <c r="F34" s="73">
        <f>'DOE25'!I35</f>
        <v>0</v>
      </c>
      <c r="G34" s="23" t="s">
        <v>288</v>
      </c>
      <c r="H34" s="13">
        <f t="shared" ref="H34:H51" si="2">SUM(C34:G34)</f>
        <v>41533.25</v>
      </c>
      <c r="I34" s="90"/>
    </row>
    <row r="35" spans="1:9" x14ac:dyDescent="0.2">
      <c r="A35" s="1" t="s">
        <v>846</v>
      </c>
      <c r="B35" s="6">
        <v>752</v>
      </c>
      <c r="C35" s="73">
        <f>'DOE25'!F36</f>
        <v>15369.02</v>
      </c>
      <c r="D35" s="73">
        <f>'DOE25'!G36</f>
        <v>958</v>
      </c>
      <c r="E35" s="73">
        <f>'DOE25'!H36</f>
        <v>0</v>
      </c>
      <c r="F35" s="73">
        <f>'DOE25'!I36</f>
        <v>0</v>
      </c>
      <c r="G35" s="23" t="s">
        <v>288</v>
      </c>
      <c r="H35" s="13">
        <f t="shared" si="2"/>
        <v>16327.02</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553923.81999999995</v>
      </c>
      <c r="E39" s="23" t="s">
        <v>288</v>
      </c>
      <c r="F39" s="23" t="s">
        <v>288</v>
      </c>
      <c r="G39" s="23" t="s">
        <v>288</v>
      </c>
      <c r="H39" s="13">
        <f t="shared" si="2"/>
        <v>553923.81999999995</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555000</v>
      </c>
      <c r="D43" s="73">
        <f>'DOE25'!G44</f>
        <v>0</v>
      </c>
      <c r="E43" s="73">
        <f>'DOE25'!H44</f>
        <v>0</v>
      </c>
      <c r="F43" s="73">
        <f>'DOE25'!I44</f>
        <v>0</v>
      </c>
      <c r="G43" s="23" t="s">
        <v>288</v>
      </c>
      <c r="H43" s="13">
        <f t="shared" si="2"/>
        <v>555000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1014776</v>
      </c>
      <c r="D45" s="23" t="s">
        <v>288</v>
      </c>
      <c r="E45" s="23" t="s">
        <v>288</v>
      </c>
      <c r="F45" s="23" t="s">
        <v>288</v>
      </c>
      <c r="G45" s="23" t="s">
        <v>288</v>
      </c>
      <c r="H45" s="13">
        <f t="shared" si="2"/>
        <v>1014776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455194.75</v>
      </c>
      <c r="F47" s="73">
        <f>'DOE25'!I48</f>
        <v>0</v>
      </c>
      <c r="G47" s="73">
        <f>'DOE25'!J48</f>
        <v>1414455.21</v>
      </c>
      <c r="H47" s="13">
        <f t="shared" si="2"/>
        <v>1869649.96</v>
      </c>
      <c r="I47" s="90"/>
    </row>
    <row r="48" spans="1:9" x14ac:dyDescent="0.2">
      <c r="A48" s="1" t="s">
        <v>878</v>
      </c>
      <c r="B48" s="6">
        <v>753</v>
      </c>
      <c r="C48" s="73">
        <f>'DOE25'!F49</f>
        <v>554991.27</v>
      </c>
      <c r="D48" s="73">
        <f>'DOE25'!G49</f>
        <v>0</v>
      </c>
      <c r="E48" s="73">
        <f>'DOE25'!H49</f>
        <v>0</v>
      </c>
      <c r="F48" s="73">
        <f>'DOE25'!I49</f>
        <v>0</v>
      </c>
      <c r="G48" s="73">
        <f>'DOE25'!J49</f>
        <v>0</v>
      </c>
      <c r="H48" s="13">
        <f t="shared" si="2"/>
        <v>554991.27</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2140136.29</v>
      </c>
      <c r="D50" s="38">
        <f>SUM(D34:D49)</f>
        <v>596415.06999999995</v>
      </c>
      <c r="E50" s="38">
        <f>SUM(E34:E49)</f>
        <v>455194.75</v>
      </c>
      <c r="F50" s="38">
        <f>SUM(F34:F49)</f>
        <v>0</v>
      </c>
      <c r="G50" s="38">
        <f>SUM(G34:G49)</f>
        <v>1414455.21</v>
      </c>
      <c r="H50" s="38">
        <f t="shared" si="2"/>
        <v>4606201.32</v>
      </c>
      <c r="I50" s="90"/>
    </row>
    <row r="51" spans="1:9" ht="12" thickTop="1" x14ac:dyDescent="0.2">
      <c r="A51" s="35" t="s">
        <v>881</v>
      </c>
      <c r="B51" s="2"/>
      <c r="C51" s="38">
        <f>C50+C31</f>
        <v>5314895.7799999993</v>
      </c>
      <c r="D51" s="38">
        <f>D50+D31</f>
        <v>656467.17999999993</v>
      </c>
      <c r="E51" s="38">
        <f>E50+E31</f>
        <v>703247.83000000007</v>
      </c>
      <c r="F51" s="38">
        <f>F50+F31</f>
        <v>0</v>
      </c>
      <c r="G51" s="38">
        <f>G50+G31</f>
        <v>1414455.21</v>
      </c>
      <c r="H51" s="38">
        <f t="shared" si="2"/>
        <v>8089065.9999999991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47011761</v>
      </c>
      <c r="D56" s="73">
        <f>'DOE25'!G60</f>
        <v>0</v>
      </c>
      <c r="E56" s="73">
        <f>'DOE25'!H60</f>
        <v>0</v>
      </c>
      <c r="F56" s="73">
        <f>'DOE25'!I60</f>
        <v>0</v>
      </c>
      <c r="G56" s="73">
        <f>'DOE25'!J60</f>
        <v>0</v>
      </c>
      <c r="H56" s="13">
        <f t="shared" ref="H56:H63" si="3">SUM(C56:G56)</f>
        <v>47011761</v>
      </c>
      <c r="I56"/>
    </row>
    <row r="57" spans="1:9" x14ac:dyDescent="0.2">
      <c r="A57" s="1" t="s">
        <v>164</v>
      </c>
      <c r="B57" s="6" t="s">
        <v>165</v>
      </c>
      <c r="C57" s="73">
        <f>'DOE25'!F79</f>
        <v>107860.18</v>
      </c>
      <c r="D57" s="23" t="s">
        <v>288</v>
      </c>
      <c r="E57" s="73">
        <f>'DOE25'!H79</f>
        <v>241906</v>
      </c>
      <c r="F57" s="23" t="s">
        <v>288</v>
      </c>
      <c r="G57" s="23" t="s">
        <v>288</v>
      </c>
      <c r="H57" s="13">
        <f t="shared" si="3"/>
        <v>349766.18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161042.87</v>
      </c>
      <c r="D59" s="73">
        <f>'DOE25'!G96</f>
        <v>0</v>
      </c>
      <c r="E59" s="73">
        <f>'DOE25'!H96</f>
        <v>0</v>
      </c>
      <c r="F59" s="73">
        <f>'DOE25'!I96</f>
        <v>0</v>
      </c>
      <c r="G59" s="73">
        <f>'DOE25'!J96</f>
        <v>38649.199999999997</v>
      </c>
      <c r="H59" s="13">
        <f t="shared" si="3"/>
        <v>199692.07</v>
      </c>
      <c r="I59"/>
    </row>
    <row r="60" spans="1:9" x14ac:dyDescent="0.2">
      <c r="A60" s="1" t="s">
        <v>170</v>
      </c>
      <c r="B60" s="22" t="s">
        <v>171</v>
      </c>
      <c r="C60" s="23" t="s">
        <v>288</v>
      </c>
      <c r="D60" s="73">
        <f>'DOE25'!G97</f>
        <v>812065.73</v>
      </c>
      <c r="E60" s="23" t="s">
        <v>288</v>
      </c>
      <c r="F60" s="23" t="s">
        <v>288</v>
      </c>
      <c r="G60" s="23" t="s">
        <v>288</v>
      </c>
      <c r="H60" s="13">
        <f t="shared" si="3"/>
        <v>812065.73</v>
      </c>
      <c r="I60"/>
    </row>
    <row r="61" spans="1:9" ht="12" thickBot="1" x14ac:dyDescent="0.25">
      <c r="A61" s="1" t="s">
        <v>172</v>
      </c>
      <c r="B61" s="22" t="s">
        <v>173</v>
      </c>
      <c r="C61" s="73">
        <f>SUM('DOE25'!F98:F110)</f>
        <v>334277.34999999998</v>
      </c>
      <c r="D61" s="73">
        <f>SUM('DOE25'!G98:G110)</f>
        <v>0</v>
      </c>
      <c r="E61" s="73">
        <f>SUM('DOE25'!H98:H110)</f>
        <v>299562.62</v>
      </c>
      <c r="F61" s="73">
        <f>SUM('DOE25'!I98:I110)</f>
        <v>0</v>
      </c>
      <c r="G61" s="73">
        <f>SUM('DOE25'!J98:J110)</f>
        <v>0</v>
      </c>
      <c r="H61" s="13">
        <f t="shared" si="3"/>
        <v>633839.97</v>
      </c>
      <c r="I61"/>
    </row>
    <row r="62" spans="1:9" ht="12.75" thickTop="1" thickBot="1" x14ac:dyDescent="0.25">
      <c r="A62" s="28" t="s">
        <v>174</v>
      </c>
      <c r="B62" s="6"/>
      <c r="C62" s="93">
        <f>SUM(C57:C61)</f>
        <v>603180.39999999991</v>
      </c>
      <c r="D62" s="93">
        <f>SUM(D57:D61)</f>
        <v>812065.73</v>
      </c>
      <c r="E62" s="93">
        <f>SUM(E57:E61)</f>
        <v>541468.62</v>
      </c>
      <c r="F62" s="93">
        <f>SUM(F57:F61)</f>
        <v>0</v>
      </c>
      <c r="G62" s="93">
        <f>SUM(G57:G61)</f>
        <v>38649.199999999997</v>
      </c>
      <c r="H62" s="13">
        <f t="shared" si="3"/>
        <v>1995363.95</v>
      </c>
      <c r="I62"/>
    </row>
    <row r="63" spans="1:9" ht="12" thickTop="1" x14ac:dyDescent="0.2">
      <c r="A63" s="28" t="s">
        <v>175</v>
      </c>
      <c r="B63" s="6"/>
      <c r="C63" s="21">
        <f>C56+C62</f>
        <v>47614941.399999999</v>
      </c>
      <c r="D63" s="21">
        <f>D56+D62</f>
        <v>812065.73</v>
      </c>
      <c r="E63" s="21">
        <f>E56+E62</f>
        <v>541468.62</v>
      </c>
      <c r="F63" s="21">
        <f>F56+F62</f>
        <v>0</v>
      </c>
      <c r="G63" s="21">
        <f>G56+G62</f>
        <v>38649.199999999997</v>
      </c>
      <c r="H63" s="13">
        <f t="shared" si="3"/>
        <v>49007124.949999996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7811309.8300000001</v>
      </c>
      <c r="D66" s="23" t="s">
        <v>288</v>
      </c>
      <c r="E66" s="23" t="s">
        <v>288</v>
      </c>
      <c r="F66" s="23" t="s">
        <v>288</v>
      </c>
      <c r="G66" s="23" t="s">
        <v>288</v>
      </c>
      <c r="H66" s="13">
        <f t="shared" ref="H66:H81" si="4">SUM(C66:G66)</f>
        <v>7811309.8300000001</v>
      </c>
      <c r="I66"/>
    </row>
    <row r="67" spans="1:9" x14ac:dyDescent="0.2">
      <c r="A67" s="1" t="s">
        <v>767</v>
      </c>
      <c r="B67" s="6">
        <v>3112</v>
      </c>
      <c r="C67" s="73">
        <f>'DOE25'!F118</f>
        <v>5723502</v>
      </c>
      <c r="D67" s="23"/>
      <c r="E67" s="23"/>
      <c r="F67" s="23"/>
      <c r="G67" s="23"/>
      <c r="H67" s="13">
        <f t="shared" si="4"/>
        <v>5723502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23449.54</v>
      </c>
      <c r="D69" s="73">
        <f>'DOE25'!G120</f>
        <v>0</v>
      </c>
      <c r="E69" s="73">
        <f>'DOE25'!H120</f>
        <v>0</v>
      </c>
      <c r="F69" s="73">
        <f>'DOE25'!I120</f>
        <v>0</v>
      </c>
      <c r="G69" s="73">
        <f>'DOE25'!J120</f>
        <v>0</v>
      </c>
      <c r="H69" s="13">
        <f t="shared" si="4"/>
        <v>23449.54</v>
      </c>
      <c r="I69"/>
    </row>
    <row r="70" spans="1:9" ht="12" thickTop="1" x14ac:dyDescent="0.2">
      <c r="A70" s="28" t="s">
        <v>252</v>
      </c>
      <c r="B70" s="2"/>
      <c r="C70" s="97">
        <f>SUM(C66:C69)</f>
        <v>13558261.369999999</v>
      </c>
      <c r="D70" s="97">
        <f>D69</f>
        <v>0</v>
      </c>
      <c r="E70" s="97">
        <f>E69</f>
        <v>0</v>
      </c>
      <c r="F70" s="97">
        <f>F69</f>
        <v>0</v>
      </c>
      <c r="G70" s="97">
        <f>G69</f>
        <v>0</v>
      </c>
      <c r="H70" s="13">
        <f t="shared" si="4"/>
        <v>13558261.369999999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602994.56999999995</v>
      </c>
      <c r="D72" s="23" t="s">
        <v>288</v>
      </c>
      <c r="E72" s="23" t="s">
        <v>288</v>
      </c>
      <c r="F72" s="73">
        <f>'DOE25'!I123</f>
        <v>0</v>
      </c>
      <c r="G72" s="23" t="s">
        <v>288</v>
      </c>
      <c r="H72" s="13">
        <f t="shared" si="4"/>
        <v>602994.56999999995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588675.47</v>
      </c>
      <c r="D75" s="23" t="s">
        <v>288</v>
      </c>
      <c r="E75" s="23" t="s">
        <v>288</v>
      </c>
      <c r="F75" s="23" t="s">
        <v>288</v>
      </c>
      <c r="G75" s="23" t="s">
        <v>288</v>
      </c>
      <c r="H75" s="13">
        <f t="shared" si="4"/>
        <v>588675.47</v>
      </c>
      <c r="I75"/>
    </row>
    <row r="76" spans="1:9" x14ac:dyDescent="0.2">
      <c r="A76" s="1" t="s">
        <v>257</v>
      </c>
      <c r="B76" s="6" t="s">
        <v>179</v>
      </c>
      <c r="C76" s="73">
        <f>SUM('DOE25'!F127:F130)</f>
        <v>21907.9</v>
      </c>
      <c r="D76" s="23" t="s">
        <v>288</v>
      </c>
      <c r="E76" s="73">
        <f>SUM('DOE25'!H127:H130)</f>
        <v>0</v>
      </c>
      <c r="F76" s="73">
        <f>SUM('DOE25'!I127:I130)</f>
        <v>0</v>
      </c>
      <c r="G76" s="23" t="s">
        <v>288</v>
      </c>
      <c r="H76" s="13">
        <f t="shared" si="4"/>
        <v>21907.9</v>
      </c>
      <c r="I76"/>
    </row>
    <row r="77" spans="1:9" ht="12" thickBot="1" x14ac:dyDescent="0.25">
      <c r="A77" s="1" t="s">
        <v>258</v>
      </c>
      <c r="B77" s="6" t="s">
        <v>180</v>
      </c>
      <c r="C77" s="73">
        <f>SUM('DOE25'!F131:F135)</f>
        <v>0</v>
      </c>
      <c r="D77" s="73">
        <f>SUM('DOE25'!G131:G135)</f>
        <v>13898.62</v>
      </c>
      <c r="E77" s="73">
        <f>SUM('DOE25'!H131:H135)</f>
        <v>0</v>
      </c>
      <c r="F77" s="73">
        <f>SUM('DOE25'!I131:I135)</f>
        <v>0</v>
      </c>
      <c r="G77" s="73">
        <f>SUM('DOE25'!J131:J135)</f>
        <v>0</v>
      </c>
      <c r="H77" s="13">
        <f t="shared" si="4"/>
        <v>13898.62</v>
      </c>
      <c r="I77"/>
    </row>
    <row r="78" spans="1:9" ht="12.75" thickTop="1" thickBot="1" x14ac:dyDescent="0.25">
      <c r="A78" s="28" t="s">
        <v>259</v>
      </c>
      <c r="B78" s="6"/>
      <c r="C78" s="93">
        <f>SUM(C72:C77)</f>
        <v>1213577.94</v>
      </c>
      <c r="D78" s="93">
        <f>SUM(D72:D77)</f>
        <v>13898.62</v>
      </c>
      <c r="E78" s="93">
        <f>SUM(E72:E77)</f>
        <v>0</v>
      </c>
      <c r="F78" s="93">
        <f>SUM(F72:F77)</f>
        <v>0</v>
      </c>
      <c r="G78" s="93">
        <f>SUM(G72:G77)</f>
        <v>0</v>
      </c>
      <c r="H78" s="13">
        <f t="shared" si="4"/>
        <v>1227476.56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14771839.309999999</v>
      </c>
      <c r="D81" s="93">
        <f>SUM(D79:D80)+D78+D70</f>
        <v>13898.62</v>
      </c>
      <c r="E81" s="93">
        <f>SUM(E79:E80)+E78+E70</f>
        <v>0</v>
      </c>
      <c r="F81" s="93">
        <f>SUM(F79:F80)+F78+F70</f>
        <v>0</v>
      </c>
      <c r="G81" s="93">
        <f>SUM(G79:G80)+G78+G70</f>
        <v>0</v>
      </c>
      <c r="H81" s="93">
        <f t="shared" si="4"/>
        <v>14785737.929999998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72581.320000000007</v>
      </c>
      <c r="E85" s="73">
        <f>'DOE25'!H147</f>
        <v>0</v>
      </c>
      <c r="F85" s="73">
        <f>'DOE25'!I147</f>
        <v>0</v>
      </c>
      <c r="G85" s="23" t="s">
        <v>288</v>
      </c>
      <c r="H85" s="13">
        <f t="shared" ref="H85:H104" si="5">SUM(C85:G85)</f>
        <v>72581.320000000007</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24798.28</v>
      </c>
      <c r="D88" s="252">
        <f>SUM('DOE25'!G153:G162)</f>
        <v>217287.87</v>
      </c>
      <c r="E88" s="252">
        <f>SUM('DOE25'!H153:H162)</f>
        <v>910316.08</v>
      </c>
      <c r="F88" s="252">
        <f>SUM('DOE25'!I153:I162)</f>
        <v>0</v>
      </c>
      <c r="G88" s="23" t="s">
        <v>288</v>
      </c>
      <c r="H88" s="13">
        <f t="shared" si="5"/>
        <v>1152402.23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24798.28</v>
      </c>
      <c r="D91" s="94">
        <f>SUM(D85:D90)</f>
        <v>289869.19</v>
      </c>
      <c r="E91" s="94">
        <f>SUM(E85:E90)</f>
        <v>910316.08</v>
      </c>
      <c r="F91" s="94">
        <f>SUM(F85:F90)</f>
        <v>0</v>
      </c>
      <c r="G91" s="23" t="s">
        <v>288</v>
      </c>
      <c r="H91" s="13">
        <f t="shared" si="5"/>
        <v>1224983.5499999998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675000</v>
      </c>
      <c r="H96" s="13">
        <f t="shared" si="5"/>
        <v>675000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1696.71</v>
      </c>
      <c r="D100" s="73">
        <f>SUM('DOE25'!G187:G188)</f>
        <v>0</v>
      </c>
      <c r="E100" s="73">
        <f>SUM('DOE25'!H187:H188)</f>
        <v>0</v>
      </c>
      <c r="F100" s="73">
        <f>SUM('DOE25'!I187:I188)</f>
        <v>0</v>
      </c>
      <c r="G100" s="23" t="s">
        <v>288</v>
      </c>
      <c r="H100" s="13">
        <f t="shared" si="5"/>
        <v>1696.71</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1696.71</v>
      </c>
      <c r="D103" s="68">
        <f>SUM(D93:D102)</f>
        <v>0</v>
      </c>
      <c r="E103" s="68">
        <f>SUM(E93:E102)</f>
        <v>0</v>
      </c>
      <c r="F103" s="68">
        <f>SUM(F93:F102)</f>
        <v>0</v>
      </c>
      <c r="G103" s="68">
        <f>SUM(G93:G102)</f>
        <v>675000</v>
      </c>
      <c r="H103" s="68">
        <f t="shared" si="5"/>
        <v>676696.71</v>
      </c>
    </row>
    <row r="104" spans="1:8" ht="12.75" thickTop="1" thickBot="1" x14ac:dyDescent="0.25">
      <c r="A104" s="32" t="s">
        <v>758</v>
      </c>
      <c r="C104" s="68">
        <f>C63+C81+C91+C103</f>
        <v>62413275.699999996</v>
      </c>
      <c r="D104" s="68">
        <f>D63+D81+D91+D103</f>
        <v>1115833.54</v>
      </c>
      <c r="E104" s="68">
        <f>E63+E81+E91+E103</f>
        <v>1451784.7</v>
      </c>
      <c r="F104" s="68">
        <f>F63+F81+F91+F103</f>
        <v>0</v>
      </c>
      <c r="G104" s="68">
        <f>G63+G81+G103</f>
        <v>713649.2</v>
      </c>
      <c r="H104" s="68">
        <f t="shared" si="5"/>
        <v>65694543.140000001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21493514.030000001</v>
      </c>
      <c r="D109" s="23" t="s">
        <v>288</v>
      </c>
      <c r="E109" s="73">
        <f>('DOE25'!L277)+('DOE25'!L296)+('DOE25'!L315)</f>
        <v>129163.48000000001</v>
      </c>
      <c r="F109" s="23" t="s">
        <v>288</v>
      </c>
      <c r="G109" s="23" t="s">
        <v>288</v>
      </c>
      <c r="H109" s="13">
        <f t="shared" ref="H109:H115" si="6">SUM(C109:G109)</f>
        <v>21622677.510000002</v>
      </c>
    </row>
    <row r="110" spans="1:8" x14ac:dyDescent="0.2">
      <c r="A110" t="s">
        <v>198</v>
      </c>
      <c r="B110" s="31" t="s">
        <v>199</v>
      </c>
      <c r="C110" s="73">
        <f>('DOE25'!L199)+('DOE25'!L217)+('DOE25'!L235)</f>
        <v>10913549.58</v>
      </c>
      <c r="D110" s="23" t="s">
        <v>288</v>
      </c>
      <c r="E110" s="73">
        <f>('DOE25'!L278)+('DOE25'!L297)+('DOE25'!L316)</f>
        <v>627779.56999999995</v>
      </c>
      <c r="F110" s="23" t="s">
        <v>288</v>
      </c>
      <c r="G110" s="23" t="s">
        <v>288</v>
      </c>
      <c r="H110" s="13">
        <f t="shared" si="6"/>
        <v>11541329.15</v>
      </c>
    </row>
    <row r="111" spans="1:8" x14ac:dyDescent="0.2">
      <c r="A111" t="s">
        <v>200</v>
      </c>
      <c r="B111" s="31" t="s">
        <v>165</v>
      </c>
      <c r="C111" s="73">
        <f>('DOE25'!L200)+('DOE25'!L218)+('DOE25'!L236)</f>
        <v>536481.43999999994</v>
      </c>
      <c r="D111" s="23" t="s">
        <v>288</v>
      </c>
      <c r="E111" s="73">
        <f>('DOE25'!L279)+('DOE25'!L298)+('DOE25'!L317)</f>
        <v>0</v>
      </c>
      <c r="F111" s="23" t="s">
        <v>288</v>
      </c>
      <c r="G111" s="23" t="s">
        <v>288</v>
      </c>
      <c r="H111" s="13">
        <f t="shared" si="6"/>
        <v>536481.43999999994</v>
      </c>
    </row>
    <row r="112" spans="1:8" x14ac:dyDescent="0.2">
      <c r="A112" t="s">
        <v>201</v>
      </c>
      <c r="B112" s="31" t="s">
        <v>167</v>
      </c>
      <c r="C112" s="73">
        <f>('DOE25'!L201)+('DOE25'!L219)+('DOE25'!L237)</f>
        <v>1359524.4900000002</v>
      </c>
      <c r="D112" s="23" t="s">
        <v>288</v>
      </c>
      <c r="E112" s="73">
        <f>+('DOE25'!L280)+('DOE25'!L299)+('DOE25'!L318)</f>
        <v>187162.13</v>
      </c>
      <c r="F112" s="23" t="s">
        <v>288</v>
      </c>
      <c r="G112" s="23" t="s">
        <v>288</v>
      </c>
      <c r="H112" s="13">
        <f t="shared" si="6"/>
        <v>1546686.62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34303069.539999999</v>
      </c>
      <c r="D115" s="68">
        <f>SUM(D109:D114)</f>
        <v>0</v>
      </c>
      <c r="E115" s="68">
        <f>SUM(E109:E114)</f>
        <v>944105.17999999993</v>
      </c>
      <c r="F115" s="68">
        <f>SUM(F109:F114)</f>
        <v>0</v>
      </c>
      <c r="G115" s="68">
        <f>SUM(G109:G114)</f>
        <v>0</v>
      </c>
      <c r="H115" s="68">
        <f t="shared" si="6"/>
        <v>35247174.719999999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4734402.6500000004</v>
      </c>
      <c r="D118" s="23" t="s">
        <v>288</v>
      </c>
      <c r="E118" s="73">
        <f>+('DOE25'!L282)+('DOE25'!L301)+('DOE25'!L320)</f>
        <v>69717.709999999992</v>
      </c>
      <c r="F118" s="23" t="s">
        <v>288</v>
      </c>
      <c r="G118" s="23" t="s">
        <v>288</v>
      </c>
      <c r="H118" s="13">
        <f t="shared" ref="H118:H145" si="7">SUM(C118:G118)</f>
        <v>4804120.3600000003</v>
      </c>
    </row>
    <row r="119" spans="1:8" x14ac:dyDescent="0.2">
      <c r="A119" t="s">
        <v>208</v>
      </c>
      <c r="B119" s="31" t="s">
        <v>209</v>
      </c>
      <c r="C119" s="73">
        <f>('DOE25'!L204)+('DOE25'!L222)+('DOE25'!L240)</f>
        <v>2830181.4800000004</v>
      </c>
      <c r="D119" s="23" t="s">
        <v>288</v>
      </c>
      <c r="E119" s="73">
        <f>+('DOE25'!L283)+('DOE25'!L302)+('DOE25'!L321)</f>
        <v>180696.64</v>
      </c>
      <c r="F119" s="23" t="s">
        <v>288</v>
      </c>
      <c r="G119" s="23" t="s">
        <v>288</v>
      </c>
      <c r="H119" s="13">
        <f t="shared" si="7"/>
        <v>3010878.1200000006</v>
      </c>
    </row>
    <row r="120" spans="1:8" x14ac:dyDescent="0.2">
      <c r="A120" t="s">
        <v>210</v>
      </c>
      <c r="B120" s="31" t="s">
        <v>211</v>
      </c>
      <c r="C120" s="73">
        <f>('DOE25'!L205)+('DOE25'!L223)+('DOE25'!L241)</f>
        <v>2631842.37</v>
      </c>
      <c r="D120" s="23" t="s">
        <v>288</v>
      </c>
      <c r="E120" s="73">
        <f>+('DOE25'!L284)+('DOE25'!L303)+('DOE25'!L322)</f>
        <v>0</v>
      </c>
      <c r="F120" s="23" t="s">
        <v>288</v>
      </c>
      <c r="G120" s="23" t="s">
        <v>288</v>
      </c>
      <c r="H120" s="13">
        <f t="shared" si="7"/>
        <v>2631842.37</v>
      </c>
    </row>
    <row r="121" spans="1:8" x14ac:dyDescent="0.2">
      <c r="A121" t="s">
        <v>212</v>
      </c>
      <c r="B121" s="31" t="s">
        <v>213</v>
      </c>
      <c r="C121" s="73">
        <f>('DOE25'!L206)+('DOE25'!L224)+('DOE25'!L242)</f>
        <v>2643134.0529999998</v>
      </c>
      <c r="D121" s="23" t="s">
        <v>288</v>
      </c>
      <c r="E121" s="73">
        <f>+('DOE25'!L285)+('DOE25'!L304)+('DOE25'!L323)</f>
        <v>4916.8</v>
      </c>
      <c r="F121" s="23" t="s">
        <v>288</v>
      </c>
      <c r="G121" s="23" t="s">
        <v>288</v>
      </c>
      <c r="H121" s="13">
        <f t="shared" si="7"/>
        <v>2648050.8529999997</v>
      </c>
    </row>
    <row r="122" spans="1:8" x14ac:dyDescent="0.2">
      <c r="A122" t="s">
        <v>214</v>
      </c>
      <c r="B122" s="31" t="s">
        <v>215</v>
      </c>
      <c r="C122" s="73">
        <f>('DOE25'!L207)+('DOE25'!L225)+('DOE25'!L243)</f>
        <v>1036802.6199999999</v>
      </c>
      <c r="D122" s="23" t="s">
        <v>288</v>
      </c>
      <c r="E122" s="73">
        <f>+('DOE25'!L286)+('DOE25'!L305)+('DOE25'!L324)</f>
        <v>0</v>
      </c>
      <c r="F122" s="23" t="s">
        <v>288</v>
      </c>
      <c r="G122" s="23" t="s">
        <v>288</v>
      </c>
      <c r="H122" s="13">
        <f t="shared" si="7"/>
        <v>1036802.6199999999</v>
      </c>
    </row>
    <row r="123" spans="1:8" x14ac:dyDescent="0.2">
      <c r="A123" t="s">
        <v>216</v>
      </c>
      <c r="B123" s="31" t="s">
        <v>217</v>
      </c>
      <c r="C123" s="73">
        <f>('DOE25'!L208)+('DOE25'!L226)+('DOE25'!L244)</f>
        <v>4658396.51</v>
      </c>
      <c r="D123" s="23" t="s">
        <v>288</v>
      </c>
      <c r="E123" s="73">
        <f>+('DOE25'!L287)+('DOE25'!L306)+('DOE25'!L325)</f>
        <v>119968.75</v>
      </c>
      <c r="F123" s="23" t="s">
        <v>288</v>
      </c>
      <c r="G123" s="23" t="s">
        <v>288</v>
      </c>
      <c r="H123" s="13">
        <f t="shared" si="7"/>
        <v>4778365.26</v>
      </c>
    </row>
    <row r="124" spans="1:8" x14ac:dyDescent="0.2">
      <c r="A124" t="s">
        <v>218</v>
      </c>
      <c r="B124" s="31" t="s">
        <v>219</v>
      </c>
      <c r="C124" s="73">
        <f>('DOE25'!L209)+('DOE25'!L227)+('DOE25'!L245+'DOE25'!L255)</f>
        <v>3618559.9299999997</v>
      </c>
      <c r="D124" s="23" t="s">
        <v>288</v>
      </c>
      <c r="E124" s="73">
        <f>+('DOE25'!L288)+('DOE25'!L307)+('DOE25'!L326)</f>
        <v>765</v>
      </c>
      <c r="F124" s="23" t="s">
        <v>288</v>
      </c>
      <c r="G124" s="23" t="s">
        <v>288</v>
      </c>
      <c r="H124" s="13">
        <f t="shared" si="7"/>
        <v>3619324.9299999997</v>
      </c>
    </row>
    <row r="125" spans="1:8" x14ac:dyDescent="0.2">
      <c r="A125" t="s">
        <v>220</v>
      </c>
      <c r="B125" s="31" t="s">
        <v>221</v>
      </c>
      <c r="C125" s="73">
        <f>('DOE25'!L210)+('DOE25'!L228)+('DOE25'!L246)</f>
        <v>7541.48</v>
      </c>
      <c r="D125" s="23" t="s">
        <v>288</v>
      </c>
      <c r="E125" s="73">
        <f>+('DOE25'!L289)+('DOE25'!L308)+('DOE25'!L327)</f>
        <v>0</v>
      </c>
      <c r="F125" s="23" t="s">
        <v>288</v>
      </c>
      <c r="G125" s="23" t="s">
        <v>288</v>
      </c>
      <c r="H125" s="13">
        <f t="shared" si="7"/>
        <v>7541.48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1127237.9000000001</v>
      </c>
      <c r="E127" s="23" t="s">
        <v>288</v>
      </c>
      <c r="F127" s="23" t="s">
        <v>288</v>
      </c>
      <c r="G127" s="23" t="s">
        <v>288</v>
      </c>
      <c r="H127" s="13">
        <f t="shared" si="7"/>
        <v>1127237.9000000001</v>
      </c>
    </row>
    <row r="128" spans="1:8" ht="12.75" thickTop="1" thickBot="1" x14ac:dyDescent="0.25">
      <c r="A128" s="32" t="s">
        <v>226</v>
      </c>
      <c r="C128" s="68">
        <f>SUM(C118:C127)</f>
        <v>22160861.092999998</v>
      </c>
      <c r="D128" s="68">
        <f>SUM(D118:D127)</f>
        <v>1127237.9000000001</v>
      </c>
      <c r="E128" s="68">
        <f>SUM(E118:E127)</f>
        <v>376064.9</v>
      </c>
      <c r="F128" s="68">
        <f>SUM(F118:F127)</f>
        <v>0</v>
      </c>
      <c r="G128" s="68">
        <f>SUM(G118:G127)</f>
        <v>0</v>
      </c>
      <c r="H128" s="68">
        <f t="shared" si="7"/>
        <v>23664163.892999995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890576.48</v>
      </c>
      <c r="D130" s="23" t="s">
        <v>288</v>
      </c>
      <c r="E130" s="92">
        <f>'DOE25'!L337</f>
        <v>0</v>
      </c>
      <c r="F130" s="92">
        <f>SUM('DOE25'!L375:'DOE25'!L381)</f>
        <v>0</v>
      </c>
      <c r="G130" s="23" t="s">
        <v>288</v>
      </c>
      <c r="H130" s="13">
        <f t="shared" si="7"/>
        <v>890576.48</v>
      </c>
    </row>
    <row r="131" spans="1:8" x14ac:dyDescent="0.2">
      <c r="A131" t="s">
        <v>229</v>
      </c>
      <c r="B131" s="31">
        <v>5110</v>
      </c>
      <c r="C131" s="73">
        <f>'DOE25'!L261</f>
        <v>3400000</v>
      </c>
      <c r="D131" s="23" t="s">
        <v>288</v>
      </c>
      <c r="E131" s="92">
        <f>'DOE25'!L342</f>
        <v>0</v>
      </c>
      <c r="F131" s="23" t="s">
        <v>288</v>
      </c>
      <c r="G131" s="23" t="s">
        <v>288</v>
      </c>
      <c r="H131" s="13">
        <f t="shared" si="7"/>
        <v>3400000</v>
      </c>
    </row>
    <row r="132" spans="1:8" x14ac:dyDescent="0.2">
      <c r="A132" t="s">
        <v>230</v>
      </c>
      <c r="B132" s="31">
        <v>5120</v>
      </c>
      <c r="C132" s="73">
        <f>'DOE25'!L262</f>
        <v>1214650</v>
      </c>
      <c r="D132" s="23" t="s">
        <v>288</v>
      </c>
      <c r="E132" s="92">
        <f>'DOE25'!L343</f>
        <v>0</v>
      </c>
      <c r="F132" s="23" t="s">
        <v>288</v>
      </c>
      <c r="G132" s="23" t="s">
        <v>288</v>
      </c>
      <c r="H132" s="13">
        <f t="shared" si="7"/>
        <v>1214650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713649.20000000007</v>
      </c>
      <c r="D139" s="23" t="s">
        <v>288</v>
      </c>
      <c r="E139" s="23" t="s">
        <v>288</v>
      </c>
      <c r="F139" s="23" t="s">
        <v>288</v>
      </c>
      <c r="G139" s="23" t="s">
        <v>288</v>
      </c>
      <c r="H139" s="13">
        <f t="shared" si="7"/>
        <v>713649.20000000007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-38649.20000000007</v>
      </c>
      <c r="D141" s="23" t="s">
        <v>288</v>
      </c>
      <c r="E141" s="23" t="s">
        <v>288</v>
      </c>
      <c r="F141" s="23" t="s">
        <v>288</v>
      </c>
      <c r="G141" s="23" t="s">
        <v>288</v>
      </c>
      <c r="H141" s="13">
        <f t="shared" si="7"/>
        <v>-38649.20000000007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6180226.4800000004</v>
      </c>
      <c r="D144" s="98">
        <f>SUM(D130:D143)</f>
        <v>0</v>
      </c>
      <c r="E144" s="98">
        <f>SUM(E130:E143)</f>
        <v>0</v>
      </c>
      <c r="F144" s="98">
        <f>SUM(F130:F143)</f>
        <v>0</v>
      </c>
      <c r="G144" s="98">
        <f>SUM(G130:G143)</f>
        <v>0</v>
      </c>
      <c r="H144" s="98">
        <f t="shared" si="7"/>
        <v>6180226.4800000004</v>
      </c>
    </row>
    <row r="145" spans="1:9" ht="12.75" thickTop="1" thickBot="1" x14ac:dyDescent="0.25">
      <c r="A145" s="32" t="s">
        <v>244</v>
      </c>
      <c r="C145" s="68">
        <f>(C115+C128+C144)</f>
        <v>62644157.113000005</v>
      </c>
      <c r="D145" s="68">
        <f>(D115+D128+D144)</f>
        <v>1127237.9000000001</v>
      </c>
      <c r="E145" s="68">
        <f>(E115+E128+E144)</f>
        <v>1320170.08</v>
      </c>
      <c r="F145" s="68">
        <f>(F115+F128+F144)</f>
        <v>0</v>
      </c>
      <c r="G145" s="68">
        <f>(G115+G128+G144)</f>
        <v>0</v>
      </c>
      <c r="H145" s="68">
        <f t="shared" si="7"/>
        <v>65091565.093000002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11</v>
      </c>
      <c r="C151" s="110">
        <f>'DOE25'!G491</f>
        <v>20</v>
      </c>
      <c r="D151" s="110">
        <f>'DOE25'!H491</f>
        <v>0</v>
      </c>
      <c r="E151" s="110">
        <f>'DOE25'!I491</f>
        <v>0</v>
      </c>
      <c r="F151" s="110">
        <f>'DOE25'!J491</f>
        <v>0</v>
      </c>
      <c r="G151" s="23" t="s">
        <v>288</v>
      </c>
    </row>
    <row r="152" spans="1:9" x14ac:dyDescent="0.2">
      <c r="A152" s="21" t="s">
        <v>28</v>
      </c>
      <c r="B152" s="109" t="str">
        <f>'DOE25'!F492</f>
        <v>01/15</v>
      </c>
      <c r="C152" s="109" t="str">
        <f>'DOE25'!G492</f>
        <v>8/2017</v>
      </c>
      <c r="D152" s="109">
        <f>'DOE25'!H492</f>
        <v>0</v>
      </c>
      <c r="E152" s="109">
        <f>'DOE25'!I492</f>
        <v>0</v>
      </c>
      <c r="F152" s="109">
        <f>'DOE25'!J492</f>
        <v>0</v>
      </c>
      <c r="G152" s="23" t="s">
        <v>288</v>
      </c>
    </row>
    <row r="153" spans="1:9" x14ac:dyDescent="0.2">
      <c r="A153" s="21" t="s">
        <v>29</v>
      </c>
      <c r="B153" s="109" t="str">
        <f>'DOE25'!F493</f>
        <v>07/2025</v>
      </c>
      <c r="C153" s="109" t="str">
        <f>'DOE25'!G493</f>
        <v>8/2037</v>
      </c>
      <c r="D153" s="109">
        <f>'DOE25'!H493</f>
        <v>0</v>
      </c>
      <c r="E153" s="109">
        <f>'DOE25'!I493</f>
        <v>0</v>
      </c>
      <c r="F153" s="109">
        <f>'DOE25'!J493</f>
        <v>0</v>
      </c>
      <c r="G153" s="23" t="s">
        <v>288</v>
      </c>
    </row>
    <row r="154" spans="1:9" x14ac:dyDescent="0.2">
      <c r="A154" s="21" t="s">
        <v>30</v>
      </c>
      <c r="B154" s="19">
        <f>'DOE25'!F494</f>
        <v>19305000</v>
      </c>
      <c r="C154" s="19">
        <f>'DOE25'!G494</f>
        <v>38107102</v>
      </c>
      <c r="D154" s="19">
        <f>'DOE25'!H494</f>
        <v>0</v>
      </c>
      <c r="E154" s="19">
        <f>'DOE25'!I494</f>
        <v>0</v>
      </c>
      <c r="F154" s="19">
        <f>'DOE25'!J494</f>
        <v>0</v>
      </c>
      <c r="G154" s="23" t="s">
        <v>288</v>
      </c>
    </row>
    <row r="155" spans="1:9" x14ac:dyDescent="0.2">
      <c r="A155" s="21" t="s">
        <v>31</v>
      </c>
      <c r="B155" s="19">
        <f>'DOE25'!F495</f>
        <v>3</v>
      </c>
      <c r="C155" s="19">
        <f>'DOE25'!G495</f>
        <v>5.0999999999999996</v>
      </c>
      <c r="D155" s="19">
        <f>'DOE25'!H495</f>
        <v>0</v>
      </c>
      <c r="E155" s="19">
        <f>'DOE25'!I495</f>
        <v>0</v>
      </c>
      <c r="F155" s="19">
        <f>'DOE25'!J495</f>
        <v>0</v>
      </c>
      <c r="G155" s="23" t="s">
        <v>288</v>
      </c>
    </row>
    <row r="156" spans="1:9" x14ac:dyDescent="0.2">
      <c r="A156" s="21" t="s">
        <v>32</v>
      </c>
      <c r="B156" s="19">
        <f>'DOE25'!F496</f>
        <v>5100000</v>
      </c>
      <c r="C156" s="19">
        <f>'DOE25'!G496</f>
        <v>25500000</v>
      </c>
      <c r="D156" s="19">
        <f>'DOE25'!H496</f>
        <v>0</v>
      </c>
      <c r="E156" s="19">
        <f>'DOE25'!I496</f>
        <v>0</v>
      </c>
      <c r="F156" s="19">
        <f>'DOE25'!J496</f>
        <v>0</v>
      </c>
      <c r="G156" s="96">
        <f>SUM(B156:F156)</f>
        <v>30600000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1700000</v>
      </c>
      <c r="C158" s="19">
        <f>'DOE25'!G498</f>
        <v>1700000</v>
      </c>
      <c r="D158" s="19">
        <f>'DOE25'!H498</f>
        <v>0</v>
      </c>
      <c r="E158" s="19">
        <f>'DOE25'!I498</f>
        <v>0</v>
      </c>
      <c r="F158" s="19">
        <f>'DOE25'!J498</f>
        <v>0</v>
      </c>
      <c r="G158" s="96">
        <f t="shared" si="8"/>
        <v>3400000</v>
      </c>
    </row>
    <row r="159" spans="1:9" x14ac:dyDescent="0.2">
      <c r="A159" s="21" t="s">
        <v>35</v>
      </c>
      <c r="B159" s="19">
        <f>'DOE25'!F499</f>
        <v>3400000</v>
      </c>
      <c r="C159" s="19">
        <f>'DOE25'!G499</f>
        <v>23800000</v>
      </c>
      <c r="D159" s="19">
        <f>'DOE25'!H499</f>
        <v>0</v>
      </c>
      <c r="E159" s="19">
        <f>'DOE25'!I499</f>
        <v>0</v>
      </c>
      <c r="F159" s="19">
        <f>'DOE25'!J499</f>
        <v>0</v>
      </c>
      <c r="G159" s="96">
        <f t="shared" si="8"/>
        <v>27200000</v>
      </c>
    </row>
    <row r="160" spans="1:9" x14ac:dyDescent="0.2">
      <c r="A160" s="21" t="s">
        <v>36</v>
      </c>
      <c r="B160" s="19">
        <f>'DOE25'!F500</f>
        <v>170000</v>
      </c>
      <c r="C160" s="19">
        <f>'DOE25'!G500</f>
        <v>6065600</v>
      </c>
      <c r="D160" s="19">
        <f>'DOE25'!H500</f>
        <v>0</v>
      </c>
      <c r="E160" s="19">
        <f>'DOE25'!I500</f>
        <v>0</v>
      </c>
      <c r="F160" s="19">
        <f>'DOE25'!J500</f>
        <v>0</v>
      </c>
      <c r="G160" s="96">
        <f t="shared" si="8"/>
        <v>6235600</v>
      </c>
    </row>
    <row r="161" spans="1:7" x14ac:dyDescent="0.2">
      <c r="A161" s="21" t="s">
        <v>37</v>
      </c>
      <c r="B161" s="19">
        <f>'DOE25'!F501</f>
        <v>3570000</v>
      </c>
      <c r="C161" s="19">
        <f>'DOE25'!G501</f>
        <v>29865600</v>
      </c>
      <c r="D161" s="19">
        <f>'DOE25'!H501</f>
        <v>0</v>
      </c>
      <c r="E161" s="19">
        <f>'DOE25'!I501</f>
        <v>0</v>
      </c>
      <c r="F161" s="19">
        <f>'DOE25'!J501</f>
        <v>0</v>
      </c>
      <c r="G161" s="96">
        <f t="shared" si="8"/>
        <v>33435600</v>
      </c>
    </row>
    <row r="162" spans="1:7" x14ac:dyDescent="0.2">
      <c r="A162" s="21" t="s">
        <v>38</v>
      </c>
      <c r="B162" s="19">
        <f>'DOE25'!F502</f>
        <v>1700000</v>
      </c>
      <c r="C162" s="19">
        <f>'DOE25'!G502</f>
        <v>1700000</v>
      </c>
      <c r="D162" s="19">
        <f>'DOE25'!H502</f>
        <v>0</v>
      </c>
      <c r="E162" s="19">
        <f>'DOE25'!I502</f>
        <v>0</v>
      </c>
      <c r="F162" s="19">
        <f>'DOE25'!J502</f>
        <v>0</v>
      </c>
      <c r="G162" s="96">
        <f t="shared" si="8"/>
        <v>3400000</v>
      </c>
    </row>
    <row r="163" spans="1:7" x14ac:dyDescent="0.2">
      <c r="A163" s="21" t="s">
        <v>39</v>
      </c>
      <c r="B163" s="19">
        <f>'DOE25'!F503</f>
        <v>127500</v>
      </c>
      <c r="C163" s="19">
        <f>'DOE25'!G503</f>
        <v>932450</v>
      </c>
      <c r="D163" s="19">
        <f>'DOE25'!H503</f>
        <v>0</v>
      </c>
      <c r="E163" s="19">
        <f>'DOE25'!I503</f>
        <v>0</v>
      </c>
      <c r="F163" s="19">
        <f>'DOE25'!J503</f>
        <v>0</v>
      </c>
      <c r="G163" s="96">
        <f t="shared" si="8"/>
        <v>1059950</v>
      </c>
    </row>
    <row r="164" spans="1:7" x14ac:dyDescent="0.2">
      <c r="A164" s="21" t="s">
        <v>246</v>
      </c>
      <c r="B164" s="19">
        <f>'DOE25'!F504</f>
        <v>1827500</v>
      </c>
      <c r="C164" s="19">
        <f>'DOE25'!G504</f>
        <v>2632450</v>
      </c>
      <c r="D164" s="19">
        <f>'DOE25'!H504</f>
        <v>0</v>
      </c>
      <c r="E164" s="19">
        <f>'DOE25'!I504</f>
        <v>0</v>
      </c>
      <c r="F164" s="19">
        <f>'DOE25'!J504</f>
        <v>0</v>
      </c>
      <c r="G164" s="96">
        <f t="shared" si="8"/>
        <v>4459950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Windham</v>
      </c>
    </row>
    <row r="3" spans="1:4" x14ac:dyDescent="0.2">
      <c r="B3" s="136" t="s">
        <v>1792</v>
      </c>
    </row>
    <row r="4" spans="1:4" x14ac:dyDescent="0.2">
      <c r="B4" t="s">
        <v>61</v>
      </c>
      <c r="C4" s="128">
        <f>IF('DOE25'!F666+'DOE25'!F671=0,0,ROUND('DOE25'!F673,0))</f>
        <v>16527</v>
      </c>
    </row>
    <row r="5" spans="1:4" x14ac:dyDescent="0.2">
      <c r="B5" t="s">
        <v>700</v>
      </c>
      <c r="C5" s="128">
        <f>IF('DOE25'!G666+'DOE25'!G671=0,0,ROUND('DOE25'!G673,0))</f>
        <v>19039</v>
      </c>
    </row>
    <row r="6" spans="1:4" x14ac:dyDescent="0.2">
      <c r="B6" t="s">
        <v>62</v>
      </c>
      <c r="C6" s="128">
        <f>IF('DOE25'!H666+'DOE25'!H671=0,0,ROUND('DOE25'!H673,0))</f>
        <v>18593</v>
      </c>
    </row>
    <row r="7" spans="1:4" x14ac:dyDescent="0.2">
      <c r="B7" t="s">
        <v>701</v>
      </c>
      <c r="C7" s="128">
        <f>IF('DOE25'!I666+'DOE25'!I671=0,0,ROUND('DOE25'!I673,0))</f>
        <v>17560</v>
      </c>
    </row>
    <row r="9" spans="1:4" x14ac:dyDescent="0.2">
      <c r="A9" s="135" t="s">
        <v>94</v>
      </c>
      <c r="B9" s="136" t="s">
        <v>1793</v>
      </c>
      <c r="C9" s="130" t="s">
        <v>720</v>
      </c>
      <c r="D9" s="130" t="s">
        <v>721</v>
      </c>
    </row>
    <row r="10" spans="1:4" x14ac:dyDescent="0.2">
      <c r="A10">
        <v>1100</v>
      </c>
      <c r="B10" t="s">
        <v>702</v>
      </c>
      <c r="C10" s="128">
        <f>ROUND('DOE25'!L198+'DOE25'!L216+'DOE25'!L234+'DOE25'!L277+'DOE25'!L296+'DOE25'!L315,0)</f>
        <v>21622678</v>
      </c>
      <c r="D10" s="131">
        <f>ROUND((C10/$C$28)*100,1)</f>
        <v>36.5</v>
      </c>
    </row>
    <row r="11" spans="1:4" x14ac:dyDescent="0.2">
      <c r="A11">
        <v>1200</v>
      </c>
      <c r="B11" t="s">
        <v>703</v>
      </c>
      <c r="C11" s="128">
        <f>ROUND('DOE25'!L199+'DOE25'!L217+'DOE25'!L235+'DOE25'!L278+'DOE25'!L297+'DOE25'!L316,0)</f>
        <v>11541329</v>
      </c>
      <c r="D11" s="131">
        <f>ROUND((C11/$C$28)*100,1)</f>
        <v>19.5</v>
      </c>
    </row>
    <row r="12" spans="1:4" x14ac:dyDescent="0.2">
      <c r="A12">
        <v>1300</v>
      </c>
      <c r="B12" t="s">
        <v>704</v>
      </c>
      <c r="C12" s="128">
        <f>ROUND('DOE25'!L200+'DOE25'!L218+'DOE25'!L236+'DOE25'!L279+'DOE25'!L298+'DOE25'!L317,0)</f>
        <v>536481</v>
      </c>
      <c r="D12" s="131">
        <f>ROUND((C12/$C$28)*100,1)</f>
        <v>0.9</v>
      </c>
    </row>
    <row r="13" spans="1:4" x14ac:dyDescent="0.2">
      <c r="A13">
        <v>1400</v>
      </c>
      <c r="B13" t="s">
        <v>705</v>
      </c>
      <c r="C13" s="128">
        <f>ROUND('DOE25'!L201+'DOE25'!L219+'DOE25'!L237+'DOE25'!L280+'DOE25'!L299+'DOE25'!L318,0)</f>
        <v>1546687</v>
      </c>
      <c r="D13" s="131">
        <f>ROUND((C13/$C$28)*100,1)</f>
        <v>2.6</v>
      </c>
    </row>
    <row r="14" spans="1:4" x14ac:dyDescent="0.2">
      <c r="D14" s="131"/>
    </row>
    <row r="15" spans="1:4" x14ac:dyDescent="0.2">
      <c r="A15">
        <v>2100</v>
      </c>
      <c r="B15" t="s">
        <v>706</v>
      </c>
      <c r="C15" s="128">
        <f>ROUND('DOE25'!L203+'DOE25'!L221+'DOE25'!L239+'DOE25'!L282+'DOE25'!L301+'DOE25'!L320,0)</f>
        <v>4804120</v>
      </c>
      <c r="D15" s="131">
        <f t="shared" ref="D15:D27" si="0">ROUND((C15/$C$28)*100,1)</f>
        <v>8.1</v>
      </c>
    </row>
    <row r="16" spans="1:4" x14ac:dyDescent="0.2">
      <c r="A16">
        <v>2200</v>
      </c>
      <c r="B16" t="s">
        <v>707</v>
      </c>
      <c r="C16" s="128">
        <f>ROUND('DOE25'!L204+'DOE25'!L222+'DOE25'!L240+'DOE25'!L283+'DOE25'!L302+'DOE25'!L321,0)</f>
        <v>3010878</v>
      </c>
      <c r="D16" s="131">
        <f t="shared" si="0"/>
        <v>5.0999999999999996</v>
      </c>
    </row>
    <row r="17" spans="1:4" x14ac:dyDescent="0.2">
      <c r="A17" s="132" t="s">
        <v>723</v>
      </c>
      <c r="B17" t="s">
        <v>738</v>
      </c>
      <c r="C17" s="128">
        <f>ROUND('DOE25'!L205+'DOE25'!L210+'DOE25'!L223+'DOE25'!L228+'DOE25'!L241+'DOE25'!L246+'DOE25'!L284+'DOE25'!L289+'DOE25'!L303+'DOE25'!L308+'DOE25'!L322+'DOE25'!L327,0)</f>
        <v>2639384</v>
      </c>
      <c r="D17" s="131">
        <f t="shared" si="0"/>
        <v>4.4000000000000004</v>
      </c>
    </row>
    <row r="18" spans="1:4" x14ac:dyDescent="0.2">
      <c r="A18">
        <v>2400</v>
      </c>
      <c r="B18" t="s">
        <v>711</v>
      </c>
      <c r="C18" s="128">
        <f>ROUND('DOE25'!L206+'DOE25'!L224+'DOE25'!L242+'DOE25'!L285+'DOE25'!L304+'DOE25'!L323,0)</f>
        <v>2648051</v>
      </c>
      <c r="D18" s="131">
        <f t="shared" si="0"/>
        <v>4.5</v>
      </c>
    </row>
    <row r="19" spans="1:4" x14ac:dyDescent="0.2">
      <c r="A19">
        <v>2500</v>
      </c>
      <c r="B19" t="s">
        <v>708</v>
      </c>
      <c r="C19" s="128">
        <f>ROUND('DOE25'!L207+'DOE25'!L225+'DOE25'!L243+'DOE25'!L286+'DOE25'!L305+'DOE25'!L324,0)</f>
        <v>1036803</v>
      </c>
      <c r="D19" s="131">
        <f t="shared" si="0"/>
        <v>1.7</v>
      </c>
    </row>
    <row r="20" spans="1:4" x14ac:dyDescent="0.2">
      <c r="A20">
        <v>2600</v>
      </c>
      <c r="B20" t="s">
        <v>709</v>
      </c>
      <c r="C20" s="128">
        <f>ROUND('DOE25'!L208+'DOE25'!L226+'DOE25'!L244+'DOE25'!L287+'DOE25'!L306+'DOE25'!L325,0)</f>
        <v>4778365</v>
      </c>
      <c r="D20" s="131">
        <f t="shared" si="0"/>
        <v>8.1</v>
      </c>
    </row>
    <row r="21" spans="1:4" x14ac:dyDescent="0.2">
      <c r="A21">
        <v>2700</v>
      </c>
      <c r="B21" t="s">
        <v>710</v>
      </c>
      <c r="C21" s="128">
        <f>ROUND('DOE25'!L209+'DOE25'!L227+'DOE25'!L245+'DOE25'!L288+'DOE25'!L307+'DOE25'!L326,0)</f>
        <v>3619325</v>
      </c>
      <c r="D21" s="131">
        <f t="shared" si="0"/>
        <v>6.1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1214650</v>
      </c>
      <c r="D25" s="131">
        <f t="shared" si="0"/>
        <v>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315172.27</v>
      </c>
      <c r="D27" s="131">
        <f t="shared" si="0"/>
        <v>0.5</v>
      </c>
    </row>
    <row r="28" spans="1:4" x14ac:dyDescent="0.2">
      <c r="B28" s="135" t="s">
        <v>719</v>
      </c>
      <c r="C28" s="129">
        <f>SUM(C10:C27)</f>
        <v>59313923.270000003</v>
      </c>
      <c r="D28" s="133">
        <f>ROUND(SUM(D10:D27),0)</f>
        <v>100</v>
      </c>
    </row>
    <row r="29" spans="1:4" x14ac:dyDescent="0.2">
      <c r="A29">
        <v>4000</v>
      </c>
      <c r="B29" t="s">
        <v>724</v>
      </c>
      <c r="C29" s="128">
        <f>ROUND('DOE25'!L256+'DOE25'!L337+'DOE25'!L375+'DOE25'!L376+'DOE25'!L377+'DOE25'!L378+'DOE25'!L379+'DOE25'!L380+'DOE25'!L381,0)</f>
        <v>890576</v>
      </c>
    </row>
    <row r="30" spans="1:4" x14ac:dyDescent="0.2">
      <c r="B30" s="135" t="s">
        <v>725</v>
      </c>
      <c r="C30" s="129">
        <f>SUM(C28:C29)</f>
        <v>60204499.270000003</v>
      </c>
    </row>
    <row r="31" spans="1:4" x14ac:dyDescent="0.2">
      <c r="B31" s="32"/>
      <c r="C31" s="129"/>
    </row>
    <row r="32" spans="1:4" x14ac:dyDescent="0.2">
      <c r="A32">
        <v>5100</v>
      </c>
      <c r="B32" s="32" t="s">
        <v>726</v>
      </c>
      <c r="C32" s="129">
        <f>ROUND('DOE25'!L261+'DOE25'!L342,0)</f>
        <v>3400000</v>
      </c>
    </row>
    <row r="34" spans="1:4" x14ac:dyDescent="0.2">
      <c r="A34" s="135" t="s">
        <v>94</v>
      </c>
      <c r="B34" s="136" t="s">
        <v>1794</v>
      </c>
      <c r="C34" s="130" t="s">
        <v>720</v>
      </c>
      <c r="D34" s="130" t="s">
        <v>721</v>
      </c>
    </row>
    <row r="35" spans="1:4" x14ac:dyDescent="0.2">
      <c r="A35">
        <v>1100</v>
      </c>
      <c r="B35" s="71" t="s">
        <v>727</v>
      </c>
      <c r="C35" s="128">
        <f>ROUND('DOE25'!F60+'DOE25'!G60+'DOE25'!H60+'DOE25'!I60+'DOE25'!J60,0)</f>
        <v>47011761</v>
      </c>
      <c r="D35" s="131">
        <f t="shared" ref="D35:D40" si="1">ROUND((C35/$C$41)*100,1)</f>
        <v>73.2</v>
      </c>
    </row>
    <row r="36" spans="1:4" x14ac:dyDescent="0.2">
      <c r="B36" s="71" t="s">
        <v>739</v>
      </c>
      <c r="C36" s="128">
        <f>SUM('DOE25'!F112:J112)-SUM('DOE25'!G97:G110)+('DOE25'!F175+'DOE25'!F176+'DOE25'!I175+'DOE25'!I176)-C35</f>
        <v>1183298.2199999988</v>
      </c>
      <c r="D36" s="131">
        <f t="shared" si="1"/>
        <v>1.8</v>
      </c>
    </row>
    <row r="37" spans="1:4" x14ac:dyDescent="0.2">
      <c r="A37" s="132" t="s">
        <v>831</v>
      </c>
      <c r="B37" s="71" t="s">
        <v>728</v>
      </c>
      <c r="C37" s="128">
        <f>ROUND('DOE25'!F117+'DOE25'!F118,0)</f>
        <v>13534812</v>
      </c>
      <c r="D37" s="131">
        <f t="shared" si="1"/>
        <v>21.1</v>
      </c>
    </row>
    <row r="38" spans="1:4" x14ac:dyDescent="0.2">
      <c r="A38" s="132" t="s">
        <v>734</v>
      </c>
      <c r="B38" s="71" t="s">
        <v>729</v>
      </c>
      <c r="C38" s="128">
        <f>ROUND(SUM('DOE25'!F140:J140)-SUM('DOE25'!F117:F119),0)</f>
        <v>1250926</v>
      </c>
      <c r="D38" s="131">
        <f t="shared" si="1"/>
        <v>1.9</v>
      </c>
    </row>
    <row r="39" spans="1:4" x14ac:dyDescent="0.2">
      <c r="A39">
        <v>4000</v>
      </c>
      <c r="B39" s="71" t="s">
        <v>730</v>
      </c>
      <c r="C39" s="128">
        <f>ROUND('DOE25'!F170+'DOE25'!G170+'DOE25'!H170+'DOE25'!I170,0)</f>
        <v>1224984</v>
      </c>
      <c r="D39" s="131">
        <f t="shared" si="1"/>
        <v>1.9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64205781.219999999</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0" sqref="C20:M20"/>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Windham</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19</v>
      </c>
      <c r="B4" s="149">
        <v>3</v>
      </c>
      <c r="C4" s="332" t="s">
        <v>1841</v>
      </c>
      <c r="D4" s="332"/>
      <c r="E4" s="332"/>
      <c r="F4" s="332"/>
      <c r="G4" s="332"/>
      <c r="H4" s="332"/>
      <c r="I4" s="332"/>
      <c r="J4" s="332"/>
      <c r="K4" s="332"/>
      <c r="L4" s="332"/>
      <c r="M4" s="334"/>
    </row>
    <row r="5" spans="1:13" x14ac:dyDescent="0.2">
      <c r="A5" s="158">
        <v>19</v>
      </c>
      <c r="B5" s="149">
        <v>3</v>
      </c>
      <c r="C5" s="332" t="s">
        <v>1842</v>
      </c>
      <c r="D5" s="332"/>
      <c r="E5" s="332"/>
      <c r="F5" s="332"/>
      <c r="G5" s="332"/>
      <c r="H5" s="332"/>
      <c r="I5" s="332"/>
      <c r="J5" s="332"/>
      <c r="K5" s="332"/>
      <c r="L5" s="332"/>
      <c r="M5" s="334"/>
    </row>
    <row r="6" spans="1:13" x14ac:dyDescent="0.2">
      <c r="A6" s="158">
        <v>19</v>
      </c>
      <c r="B6" s="149">
        <v>3</v>
      </c>
      <c r="C6" s="332" t="s">
        <v>1847</v>
      </c>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104</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74</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97</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327</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f>IF('School Level Expenditures'!$B$2='School Tables'!L77,'School Tables'!S77,"")</f>
        <v>74</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f>IF('School Level Expenditures'!$B$2='School Tables'!W100,'School Tables'!AD100,"")</f>
        <v>97</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f>IF('School Level Expenditures'!$B$2=A107,'School Tables'!H107,"")</f>
        <v>104</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f>IF('School Level Expenditures'!$B$2=A330,'School Tables'!H330,"")</f>
        <v>327</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2024-09-11T18:08:02Z</cp:lastPrinted>
  <dcterms:created xsi:type="dcterms:W3CDTF">1997-12-04T19:04:30Z</dcterms:created>
  <dcterms:modified xsi:type="dcterms:W3CDTF">2024-12-20T19:36:35Z</dcterms:modified>
</cp:coreProperties>
</file>