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DAC64806-4A89-4F19-97B5-AEBE3E8BCAB9}"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0" i="14" l="1"/>
  <c r="D40" i="14"/>
  <c r="F5" i="13"/>
  <c r="F7" i="13"/>
  <c r="F14" i="13"/>
  <c r="F15" i="13"/>
  <c r="I234" i="1"/>
  <c r="J605" i="1" l="1"/>
  <c r="D39" i="14" l="1"/>
  <c r="G524" i="1"/>
  <c r="G534" i="1"/>
  <c r="F534" i="1"/>
  <c r="F524" i="1"/>
  <c r="I524" i="1"/>
  <c r="H524" i="1"/>
  <c r="G529" i="1"/>
  <c r="C21" i="12"/>
  <c r="C20" i="12"/>
  <c r="C19" i="12"/>
  <c r="C39" i="12"/>
  <c r="C37" i="12"/>
  <c r="C10" i="12"/>
  <c r="G242" i="1"/>
  <c r="G240" i="1"/>
  <c r="G237" i="1"/>
  <c r="B12" i="12"/>
  <c r="B37" i="12"/>
  <c r="B21" i="12"/>
  <c r="B19" i="12"/>
  <c r="B20" i="12"/>
  <c r="B10" i="12"/>
  <c r="I315" i="1"/>
  <c r="G97" i="1"/>
  <c r="G469" i="1"/>
  <c r="F49" i="1"/>
  <c r="F28" i="1" l="1"/>
  <c r="J604" i="1"/>
  <c r="J594" i="1"/>
  <c r="J592" i="1" s="1"/>
  <c r="F529" i="1" l="1"/>
  <c r="F500" i="1"/>
  <c r="F503" i="1"/>
  <c r="F473" i="1" l="1"/>
  <c r="K237" i="1"/>
  <c r="J244" i="1"/>
  <c r="J240" i="1"/>
  <c r="I237" i="1"/>
  <c r="I240" i="1"/>
  <c r="I239" i="1"/>
  <c r="H245" i="1"/>
  <c r="H244" i="1"/>
  <c r="H241" i="1"/>
  <c r="H240" i="1"/>
  <c r="H239" i="1"/>
  <c r="F240" i="1"/>
  <c r="F239" i="1"/>
  <c r="F237" i="1"/>
  <c r="F118" i="1"/>
  <c r="F110" i="1"/>
  <c r="F102" i="1"/>
  <c r="F57" i="1"/>
  <c r="H398" i="1"/>
  <c r="J96" i="1"/>
  <c r="J469" i="1"/>
  <c r="I321" i="1"/>
  <c r="I316" i="1"/>
  <c r="H320" i="1"/>
  <c r="G320" i="1"/>
  <c r="F320" i="1"/>
  <c r="E9" i="17"/>
  <c r="E13" i="17"/>
  <c r="E11" i="17"/>
  <c r="H28" i="1"/>
  <c r="H368"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L315" i="1"/>
  <c r="L316" i="1"/>
  <c r="L317" i="1"/>
  <c r="L318" i="1"/>
  <c r="L320" i="1"/>
  <c r="L321" i="1"/>
  <c r="L322" i="1"/>
  <c r="L323" i="1"/>
  <c r="L324" i="1"/>
  <c r="L325" i="1"/>
  <c r="L326" i="1"/>
  <c r="E124" i="2" s="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H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H34" i="2" s="1"/>
  <c r="E34" i="2"/>
  <c r="F34" i="2"/>
  <c r="C35" i="2"/>
  <c r="H35" i="2" s="1"/>
  <c r="D35" i="2"/>
  <c r="E35" i="2"/>
  <c r="F35" i="2"/>
  <c r="I455" i="1"/>
  <c r="J49" i="1" s="1"/>
  <c r="G48" i="2" s="1"/>
  <c r="I457" i="1"/>
  <c r="J43" i="1" s="1"/>
  <c r="I458" i="1"/>
  <c r="J37" i="1" s="1"/>
  <c r="G36" i="2" s="1"/>
  <c r="I460" i="1"/>
  <c r="J48" i="1" s="1"/>
  <c r="G47" i="2" s="1"/>
  <c r="H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E77" i="2"/>
  <c r="F77" i="2"/>
  <c r="G77" i="2"/>
  <c r="G78" i="2" s="1"/>
  <c r="C79" i="2"/>
  <c r="H79" i="2" s="1"/>
  <c r="D79" i="2"/>
  <c r="E79" i="2"/>
  <c r="C80" i="2"/>
  <c r="H80" i="2" s="1"/>
  <c r="E80" i="2"/>
  <c r="C85" i="2"/>
  <c r="F85" i="2"/>
  <c r="C87" i="2"/>
  <c r="E87" i="2"/>
  <c r="F87" i="2"/>
  <c r="C89" i="2"/>
  <c r="D89" i="2"/>
  <c r="H89" i="2" s="1"/>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D115" i="2"/>
  <c r="F115" i="2"/>
  <c r="G115" i="2"/>
  <c r="C125" i="2"/>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I19" i="1"/>
  <c r="G621" i="1" s="1"/>
  <c r="F32" i="1"/>
  <c r="F52" i="1" s="1"/>
  <c r="H618" i="1" s="1"/>
  <c r="G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H628" i="1"/>
  <c r="H629" i="1"/>
  <c r="H630" i="1"/>
  <c r="H631" i="1"/>
  <c r="H632" i="1"/>
  <c r="H633" i="1"/>
  <c r="H634" i="1"/>
  <c r="H636" i="1"/>
  <c r="H637" i="1"/>
  <c r="H638" i="1"/>
  <c r="H639" i="1"/>
  <c r="G641" i="1"/>
  <c r="G644" i="1"/>
  <c r="G645" i="1"/>
  <c r="G646" i="1"/>
  <c r="G651" i="1"/>
  <c r="G652" i="1"/>
  <c r="H653" i="1"/>
  <c r="G654" i="1"/>
  <c r="H654" i="1"/>
  <c r="H655" i="1"/>
  <c r="H656" i="1"/>
  <c r="I170" i="1"/>
  <c r="H97" i="2" l="1"/>
  <c r="H93" i="2"/>
  <c r="H87" i="2"/>
  <c r="H26" i="2"/>
  <c r="H22" i="2"/>
  <c r="E120" i="2"/>
  <c r="H125" i="2"/>
  <c r="H69" i="2"/>
  <c r="H30" i="2"/>
  <c r="H28" i="2"/>
  <c r="H25" i="2"/>
  <c r="H17" i="2"/>
  <c r="H15" i="2"/>
  <c r="H59" i="2"/>
  <c r="H38" i="2"/>
  <c r="H43" i="2"/>
  <c r="H102" i="2"/>
  <c r="H100" i="2"/>
  <c r="H98" i="2"/>
  <c r="H135" i="2"/>
  <c r="H143" i="2"/>
  <c r="C119" i="2"/>
  <c r="I409" i="1"/>
  <c r="H96" i="2"/>
  <c r="H12" i="2"/>
  <c r="H131" i="2"/>
  <c r="G620" i="1"/>
  <c r="H22" i="1"/>
  <c r="D144" i="2"/>
  <c r="H72" i="2"/>
  <c r="H29" i="2"/>
  <c r="H9" i="2"/>
  <c r="C32" i="10"/>
  <c r="K2" i="14"/>
  <c r="K3" i="14" s="1"/>
  <c r="D18" i="13"/>
  <c r="C18" i="13" s="1"/>
  <c r="D15" i="13"/>
  <c r="C15" i="13" s="1"/>
  <c r="C12" i="10"/>
  <c r="C120" i="2"/>
  <c r="G409" i="1"/>
  <c r="H646" i="1" s="1"/>
  <c r="G40" i="1"/>
  <c r="H94" i="2"/>
  <c r="H24" i="2"/>
  <c r="H132" i="2"/>
  <c r="G662" i="1"/>
  <c r="H36" i="2"/>
  <c r="H44" i="2"/>
  <c r="H48" i="2"/>
  <c r="H11" i="2"/>
  <c r="H27" i="2"/>
  <c r="H13" i="2"/>
  <c r="H8" i="2"/>
  <c r="J652" i="1"/>
  <c r="C13" i="10"/>
  <c r="E13" i="13"/>
  <c r="C13" i="13" s="1"/>
  <c r="H120" i="2"/>
  <c r="H61" i="2"/>
  <c r="H112" i="2"/>
  <c r="H23" i="2"/>
  <c r="G477" i="1"/>
  <c r="B33" i="16" s="1"/>
  <c r="D78" i="2"/>
  <c r="H77" i="2"/>
  <c r="D29" i="13"/>
  <c r="C29" i="13" s="1"/>
  <c r="K36" i="14"/>
  <c r="K37"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C114" i="2"/>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G42" i="2"/>
  <c r="G50" i="2" s="1"/>
  <c r="J51" i="1"/>
  <c r="G16" i="2"/>
  <c r="G18" i="2" s="1"/>
  <c r="J19" i="1"/>
  <c r="G622" i="1" s="1"/>
  <c r="F546" i="1"/>
  <c r="H435" i="1"/>
  <c r="D103" i="2"/>
  <c r="I140" i="1"/>
  <c r="A22" i="12"/>
  <c r="J653" i="1"/>
  <c r="G572" i="1"/>
  <c r="I435" i="1"/>
  <c r="G435" i="1"/>
  <c r="I664" i="1"/>
  <c r="E21" i="2" l="1"/>
  <c r="H32" i="1"/>
  <c r="H52" i="1" s="1"/>
  <c r="H620" i="1" s="1"/>
  <c r="J620" i="1" s="1"/>
  <c r="H42" i="2"/>
  <c r="H85" i="2"/>
  <c r="I663" i="1"/>
  <c r="L572" i="1"/>
  <c r="H134" i="2"/>
  <c r="H57" i="2"/>
  <c r="G51" i="1"/>
  <c r="D39" i="2"/>
  <c r="H16" i="2"/>
  <c r="H123" i="2"/>
  <c r="H624" i="1"/>
  <c r="H114" i="2"/>
  <c r="H103" i="2"/>
  <c r="H78" i="2"/>
  <c r="C81" i="2"/>
  <c r="H81" i="2" s="1"/>
  <c r="F194" i="1"/>
  <c r="G628" i="1" s="1"/>
  <c r="J628" i="1" s="1"/>
  <c r="H18" i="2"/>
  <c r="H91" i="2"/>
  <c r="D63" i="2"/>
  <c r="D104" i="2" s="1"/>
  <c r="H62" i="2"/>
  <c r="I662" i="1"/>
  <c r="D128" i="2"/>
  <c r="D145" i="2" s="1"/>
  <c r="H127"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J624" i="1" l="1"/>
  <c r="H39" i="2"/>
  <c r="D50" i="2"/>
  <c r="G624" i="1"/>
  <c r="G52" i="1"/>
  <c r="H619" i="1" s="1"/>
  <c r="J619" i="1" s="1"/>
  <c r="H21" i="2"/>
  <c r="E31" i="2"/>
  <c r="C104" i="2"/>
  <c r="H104" i="2" s="1"/>
  <c r="H63"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E51" i="2" l="1"/>
  <c r="H31" i="2"/>
  <c r="H50" i="2"/>
  <c r="D51" i="2"/>
  <c r="H51" i="2" s="1"/>
  <c r="C145" i="2"/>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<sst xmlns="http://schemas.openxmlformats.org/spreadsheetml/2006/main" count="6642" uniqueCount="1844">
  <si>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</si>
  <si>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</si>
  <si>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</si>
  <si>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</si>
  <si>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</si>
  <si>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</si>
  <si>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</si>
  <si>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</si>
  <si>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</si>
  <si>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</si>
  <si>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</si>
  <si>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</si>
  <si>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</si>
  <si>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</si>
  <si>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</si>
  <si>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</si>
  <si>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</si>
  <si>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</si>
  <si>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</si>
  <si>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</si>
  <si>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</si>
  <si>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</si>
  <si>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</si>
  <si>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</si>
  <si>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</si>
  <si>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</si>
  <si>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</si>
  <si>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</si>
  <si>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</si>
  <si>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</si>
  <si>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</si>
  <si>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</si>
  <si>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</si>
  <si>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</si>
  <si>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</si>
  <si>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</si>
  <si>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</si>
  <si>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</si>
  <si>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</si>
  <si>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</si>
  <si>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</si>
  <si>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</si>
  <si>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</si>
  <si>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</si>
  <si>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</si>
  <si>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</si>
  <si>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</si>
  <si>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</si>
  <si>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</si>
  <si>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</si>
  <si>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</si>
  <si>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</si>
  <si>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</si>
  <si>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</si>
  <si>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</si>
  <si>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</si>
  <si>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</si>
  <si>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</si>
  <si>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</si>
  <si>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</si>
  <si>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</si>
  <si>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</si>
  <si>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</si>
  <si>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</si>
  <si>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</si>
  <si>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</si>
  <si>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</si>
  <si>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</si>
  <si>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</si>
  <si>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</si>
  <si>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</si>
  <si>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</si>
  <si>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</si>
  <si>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</si>
  <si>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</si>
  <si>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</si>
  <si>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</si>
  <si>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</si>
  <si>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</si>
  <si>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</si>
  <si>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</si>
  <si>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</si>
  <si>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</si>
  <si>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</si>
  <si>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</si>
  <si>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</si>
  <si>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</si>
  <si>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</si>
  <si>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</si>
  <si>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</si>
  <si>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</si>
  <si>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</si>
  <si>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</si>
  <si>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</si>
  <si>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</si>
  <si>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</si>
  <si>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</si>
  <si>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</si>
  <si>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</si>
  <si>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</si>
  <si>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</si>
  <si>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</si>
  <si>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</si>
  <si>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</si>
  <si>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</si>
  <si>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</si>
  <si>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</si>
  <si>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</si>
  <si>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</si>
  <si>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</si>
  <si>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</si>
  <si>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</si>
  <si>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</si>
  <si>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</si>
  <si>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</si>
  <si>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</si>
  <si>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</si>
  <si>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</si>
  <si>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</si>
  <si>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</si>
  <si>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</si>
  <si>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</si>
  <si>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</si>
  <si>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</si>
  <si>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</si>
  <si>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</si>
  <si>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</si>
  <si>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</si>
  <si>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</si>
  <si>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</si>
  <si>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</si>
  <si>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</si>
  <si>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</si>
  <si>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</si>
  <si>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</si>
  <si>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</si>
  <si>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</si>
  <si>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</si>
  <si>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</si>
  <si>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</si>
  <si>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</si>
  <si>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</si>
  <si>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</si>
  <si>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</si>
  <si>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</si>
  <si>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</si>
  <si>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</si>
  <si>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</si>
  <si>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</si>
  <si>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</si>
  <si>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</si>
  <si>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</si>
  <si>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</si>
  <si>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</si>
  <si>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</si>
  <si>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</si>
  <si>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</si>
  <si>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</si>
  <si>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</si>
  <si>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</si>
  <si>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</si>
  <si>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</si>
  <si>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</si>
  <si>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</si>
  <si>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</si>
  <si>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</si>
  <si>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</si>
  <si>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</si>
  <si>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</si>
  <si>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</si>
  <si>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</si>
  <si>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</si>
  <si>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</si>
  <si>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</si>
  <si>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</si>
  <si>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</si>
  <si>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</si>
  <si>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</si>
  <si>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</si>
  <si>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</si>
  <si>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</si>
  <si>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</si>
  <si>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</si>
  <si>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</si>
  <si>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</si>
  <si>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</si>
  <si>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</si>
  <si>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</si>
  <si>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</si>
  <si>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</si>
  <si>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</si>
  <si>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</si>
  <si>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</si>
  <si>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</si>
  <si>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</si>
  <si>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</si>
  <si>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</si>
  <si>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</si>
  <si>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</si>
  <si>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</si>
  <si>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</si>
  <si>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</si>
  <si>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</si>
  <si>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</si>
  <si>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</si>
  <si>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</si>
  <si>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</si>
  <si>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</si>
  <si>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</si>
  <si>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</si>
  <si>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</si>
  <si>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</si>
  <si>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</si>
  <si>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</si>
  <si>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</si>
  <si>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</si>
  <si>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</si>
  <si>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</si>
  <si>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</si>
  <si>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</si>
  <si>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</si>
  <si>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</si>
  <si>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</si>
  <si>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</si>
  <si>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</si>
  <si>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</si>
  <si>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</si>
  <si>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</si>
  <si>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</si>
  <si>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</si>
  <si>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</si>
  <si>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</si>
  <si>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</si>
  <si>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</si>
  <si>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</si>
  <si>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</si>
  <si>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</si>
  <si>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</si>
  <si>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</si>
  <si>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</si>
  <si>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</si>
  <si>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</si>
  <si>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</si>
  <si>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</si>
  <si>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</si>
  <si>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</si>
  <si>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</si>
  <si>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</si>
  <si>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</si>
  <si>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</si>
  <si>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</si>
  <si>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</si>
  <si>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</si>
  <si>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</si>
  <si>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</si>
  <si>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</si>
  <si>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</si>
  <si>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</si>
  <si>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</si>
  <si>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</si>
  <si>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</si>
  <si>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</si>
  <si>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</si>
  <si>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</si>
  <si>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</si>
  <si>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</si>
  <si>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</si>
  <si>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</si>
  <si>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</si>
  <si>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</si>
  <si>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</si>
  <si>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</si>
  <si>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</si>
  <si>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</si>
  <si>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</si>
  <si>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</si>
  <si>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</si>
  <si>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</si>
  <si>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</si>
  <si>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</si>
  <si>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</si>
  <si>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</si>
  <si>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</si>
  <si>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</si>
  <si>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</si>
  <si>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</si>
  <si>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</si>
  <si>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</si>
  <si>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</si>
  <si>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</si>
  <si>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</si>
  <si>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</si>
  <si>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</si>
  <si>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</si>
  <si>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</si>
  <si>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</si>
  <si>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</si>
  <si>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</si>
  <si>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</si>
  <si>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</si>
  <si>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</si>
  <si>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</si>
  <si>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</si>
  <si>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</si>
  <si>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</si>
  <si>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</si>
  <si>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</si>
  <si>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</si>
  <si>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</si>
  <si>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</si>
  <si>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</si>
  <si>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</si>
  <si>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</si>
  <si>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</si>
  <si>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</si>
  <si>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</si>
  <si>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</si>
  <si>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</si>
  <si>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</si>
  <si>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</si>
  <si>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</si>
  <si>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</si>
  <si>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</si>
  <si>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</si>
  <si>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</si>
  <si>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</si>
  <si>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</si>
  <si>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</si>
  <si>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</si>
  <si>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</si>
  <si>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</si>
  <si>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</si>
  <si>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</si>
  <si>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</si>
  <si>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</si>
  <si>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</si>
  <si>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</si>
  <si>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</si>
  <si>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</si>
  <si>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</si>
  <si>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</si>
  <si>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</si>
  <si>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</si>
  <si>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</si>
  <si>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</si>
  <si>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</si>
  <si>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</si>
  <si>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</si>
  <si>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</si>
  <si>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</si>
  <si>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</si>
  <si>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</si>
  <si>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</si>
  <si>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</si>
  <si>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</si>
  <si>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</si>
  <si>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</si>
  <si>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</si>
  <si>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</si>
  <si>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</si>
  <si>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</si>
  <si>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</si>
  <si>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</si>
  <si>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</si>
  <si>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</si>
  <si>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</si>
  <si>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</si>
  <si>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</si>
  <si>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</si>
  <si>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</si>
  <si>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</si>
  <si>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</si>
  <si>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</si>
  <si>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</si>
  <si>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</si>
  <si>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</si>
  <si>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</si>
  <si>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</si>
  <si>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</si>
  <si>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</si>
  <si>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</si>
  <si>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</si>
  <si>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</si>
  <si>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</si>
  <si>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</si>
  <si>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</si>
  <si>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</si>
  <si>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</si>
  <si>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</si>
  <si>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</si>
  <si>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</si>
  <si>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</si>
  <si>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</si>
  <si>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</si>
  <si>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</si>
  <si>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</si>
  <si>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</si>
  <si>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</si>
  <si>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</si>
  <si>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</si>
  <si>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</si>
  <si>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</si>
  <si>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</si>
  <si>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</si>
  <si>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</si>
  <si>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</si>
  <si>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</si>
  <si>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</si>
  <si>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</si>
  <si>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</si>
  <si>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</si>
  <si>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</si>
  <si>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</si>
  <si>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</si>
  <si>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</si>
  <si>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</si>
  <si>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</si>
  <si>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</si>
  <si>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</si>
  <si>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</si>
  <si>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</si>
  <si>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</si>
  <si>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</si>
  <si>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</si>
  <si>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</si>
  <si>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</si>
  <si>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</si>
  <si>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</si>
  <si>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</si>
  <si>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</si>
  <si>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</si>
  <si>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</si>
  <si>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</si>
  <si>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</si>
  <si>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</si>
  <si>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</si>
  <si>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</si>
  <si>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</si>
  <si>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</si>
  <si>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</si>
  <si>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</si>
  <si>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</si>
  <si>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</si>
  <si>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</si>
  <si>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</si>
  <si>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</si>
  <si>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</si>
  <si>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</si>
  <si>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</si>
  <si>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</si>
  <si>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</si>
  <si>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</si>
  <si>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</si>
  <si>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</si>
  <si>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</si>
  <si>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</si>
  <si>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</si>
  <si>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</si>
  <si>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</si>
  <si>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</si>
  <si>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</si>
  <si>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</si>
  <si>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</si>
  <si>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</si>
  <si>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</si>
  <si>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</si>
  <si>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</si>
  <si>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</si>
  <si>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</si>
  <si>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</si>
  <si>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</si>
  <si>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</si>
  <si>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</si>
  <si>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</si>
  <si>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</si>
  <si>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</si>
  <si>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</si>
  <si>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</si>
  <si>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</si>
  <si>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</si>
  <si>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</si>
  <si>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</si>
  <si>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</si>
  <si>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</si>
  <si>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</si>
  <si>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</si>
  <si>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</si>
  <si>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</si>
  <si>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</si>
  <si>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</si>
  <si>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</si>
  <si>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</si>
  <si>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</si>
  <si>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</si>
  <si>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</si>
  <si>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</si>
  <si>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</si>
  <si>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</si>
  <si>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</si>
  <si>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</si>
  <si>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</si>
  <si>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</si>
  <si>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</si>
  <si>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</si>
  <si>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</si>
  <si>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</si>
  <si>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</si>
  <si>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</si>
  <si>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</si>
  <si>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</si>
  <si>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</si>
  <si>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</si>
  <si>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</si>
  <si>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</si>
  <si>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</si>
  <si>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</si>
  <si>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</si>
  <si>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</si>
  <si>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</si>
  <si>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</si>
  <si>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</si>
  <si>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</si>
  <si>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</si>
  <si>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</si>
  <si>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</si>
  <si>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</si>
  <si>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</si>
  <si>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</si>
  <si>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</si>
  <si>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</si>
  <si>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</si>
  <si>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</si>
  <si>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</si>
  <si>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</si>
  <si>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</si>
  <si>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</si>
  <si>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</si>
  <si>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</si>
  <si>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</si>
  <si>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</si>
  <si>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</si>
  <si>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</si>
  <si>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</si>
  <si>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</si>
  <si>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</si>
  <si>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</si>
  <si>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</si>
  <si>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</si>
  <si>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</si>
  <si>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</si>
  <si>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</si>
  <si>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</si>
  <si>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</si>
  <si>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</si>
  <si>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</si>
  <si>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</si>
  <si>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</si>
  <si>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</si>
  <si>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</si>
  <si>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</si>
  <si>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</si>
  <si>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</si>
  <si>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</si>
  <si>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</si>
  <si>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</si>
  <si>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</si>
  <si>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</si>
  <si>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</si>
  <si>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</si>
  <si>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</si>
  <si>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</si>
  <si>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</si>
  <si>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</si>
  <si>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</si>
  <si>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</si>
  <si>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</si>
  <si>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</si>
  <si>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</si>
  <si>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</si>
  <si>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</si>
  <si>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</si>
  <si>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</si>
  <si>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</si>
  <si>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</si>
  <si>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</si>
  <si>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</si>
  <si>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</si>
  <si>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</si>
  <si>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</si>
  <si>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</si>
  <si>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</si>
  <si>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</si>
  <si>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</si>
  <si>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</si>
  <si>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</si>
  <si>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</si>
  <si>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</si>
  <si>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</si>
  <si>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</si>
  <si>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</si>
  <si>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</si>
  <si>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</si>
  <si>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</si>
  <si>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</si>
  <si>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</si>
  <si>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</si>
  <si>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</si>
  <si>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</si>
  <si>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</si>
  <si>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</si>
  <si>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</si>
  <si>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</si>
  <si>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</si>
  <si>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</si>
  <si>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</si>
  <si>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</si>
  <si>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</si>
  <si>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</si>
  <si>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</si>
  <si>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</si>
  <si>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</si>
  <si>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</si>
  <si>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</si>
  <si>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</si>
  <si>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</si>
  <si>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</si>
  <si>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</si>
  <si>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</si>
  <si>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</si>
  <si>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</si>
  <si>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</si>
  <si>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</si>
  <si>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</si>
  <si>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</si>
  <si>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</si>
  <si>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</si>
  <si>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</si>
  <si>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</si>
  <si>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</si>
  <si>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</si>
  <si>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</si>
  <si>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</si>
  <si>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</si>
  <si>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</si>
  <si>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</si>
  <si>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</si>
  <si>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</si>
  <si>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</si>
  <si>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</si>
  <si>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</si>
  <si>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</si>
  <si>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</si>
  <si>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</si>
  <si>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</si>
  <si>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</si>
  <si>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</si>
  <si>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</si>
  <si>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</si>
  <si>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</si>
  <si>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</si>
  <si>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</si>
  <si>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</si>
  <si>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</si>
  <si>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</si>
  <si>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</si>
  <si>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</si>
  <si>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</si>
  <si>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</si>
  <si>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</si>
  <si>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</si>
  <si>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</si>
  <si>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</si>
  <si>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</si>
  <si>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</si>
  <si>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</si>
  <si>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</si>
  <si>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</si>
  <si>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</si>
  <si>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</si>
  <si>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</si>
  <si>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</si>
  <si>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</si>
  <si>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</si>
  <si>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</si>
  <si>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</si>
  <si>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</si>
  <si>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</si>
  <si>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</si>
  <si>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</si>
  <si>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</si>
  <si>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</si>
  <si>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</si>
  <si>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</si>
  <si>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</si>
  <si>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</si>
  <si>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</si>
  <si>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</si>
  <si>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</si>
  <si>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</si>
  <si>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</si>
  <si>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</si>
  <si>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</si>
  <si>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</si>
  <si>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</si>
  <si>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</si>
  <si>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</si>
  <si>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</si>
  <si>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</si>
  <si>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</si>
  <si>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</si>
  <si>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</si>
  <si>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</si>
  <si>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</si>
  <si>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</si>
  <si>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</si>
  <si>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</si>
  <si>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</si>
  <si>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</si>
  <si>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</si>
  <si>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</si>
  <si>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</si>
  <si>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</si>
  <si>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</si>
  <si>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</si>
  <si>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</si>
  <si>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</si>
  <si>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</si>
  <si>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</si>
  <si>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</si>
  <si>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</si>
  <si>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</si>
  <si>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</si>
  <si>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</si>
  <si>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</si>
  <si>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</si>
  <si>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</si>
  <si>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</si>
  <si>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</si>
  <si>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</si>
  <si>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</si>
  <si>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</si>
  <si>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</si>
  <si>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</si>
  <si>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</si>
  <si>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</si>
  <si>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</si>
  <si>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</si>
  <si>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</si>
  <si>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</si>
  <si>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</si>
  <si>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</si>
  <si>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</si>
  <si>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</si>
  <si>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</si>
  <si>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</si>
  <si>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</si>
  <si>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</si>
  <si>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</si>
  <si>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</si>
  <si>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</si>
  <si>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</si>
  <si>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</si>
  <si>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</si>
  <si>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</si>
  <si>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</si>
  <si>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</si>
  <si>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</si>
  <si>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</si>
  <si>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</si>
  <si>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</si>
  <si>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</si>
  <si>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</si>
  <si>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</si>
  <si>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</si>
  <si>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</si>
  <si>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</si>
  <si>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</si>
  <si>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</si>
  <si>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</si>
  <si>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</si>
  <si>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</si>
  <si>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</si>
  <si>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</si>
  <si>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</si>
  <si>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</si>
  <si>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</si>
  <si>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</si>
  <si>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</si>
  <si>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</si>
  <si>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</si>
  <si>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</si>
  <si>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</si>
  <si>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</si>
  <si>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</si>
  <si>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</si>
  <si>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</si>
  <si>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</si>
  <si>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</si>
  <si>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</si>
  <si>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</si>
  <si>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</si>
  <si>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</si>
  <si>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</si>
  <si>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</si>
  <si>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</si>
  <si>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</si>
  <si>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</si>
  <si>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</si>
  <si>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</si>
  <si>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</si>
  <si>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</si>
  <si>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</si>
  <si>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</si>
  <si>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</si>
  <si>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</si>
  <si>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</si>
  <si>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</si>
  <si>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</si>
  <si>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</si>
  <si>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</si>
  <si>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</si>
  <si>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</si>
  <si>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</si>
  <si>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</si>
  <si>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</si>
  <si>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</si>
  <si>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</si>
  <si>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</si>
  <si>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</si>
  <si>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</si>
  <si>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</si>
  <si>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</si>
  <si>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</si>
  <si>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</si>
  <si>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</si>
  <si>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</si>
  <si>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</si>
  <si>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</si>
  <si>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</si>
  <si>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</si>
  <si>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</si>
  <si>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</si>
  <si>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</si>
  <si>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</si>
  <si>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</si>
  <si>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</si>
  <si>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</si>
  <si>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</si>
  <si>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</si>
  <si>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</si>
  <si>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</si>
  <si>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</si>
  <si>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</si>
  <si>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</si>
  <si>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</si>
  <si>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</si>
  <si>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</si>
  <si>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</si>
  <si>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</si>
  <si>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</si>
  <si>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</si>
  <si>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</si>
  <si>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</si>
  <si>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</si>
  <si>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</si>
  <si>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</si>
  <si>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</si>
  <si>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</si>
  <si>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</si>
  <si>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</si>
  <si>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</si>
  <si>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</si>
  <si>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</si>
  <si>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</si>
  <si>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</si>
  <si>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</si>
  <si>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</si>
  <si>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</si>
  <si>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</si>
  <si>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</si>
  <si>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</si>
  <si>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</si>
  <si>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</si>
  <si>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</si>
  <si>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</si>
  <si>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</si>
  <si>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</si>
  <si>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</si>
  <si>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</si>
  <si>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</si>
  <si>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</si>
  <si>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</si>
  <si>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</si>
  <si>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</si>
  <si>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</si>
  <si>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</si>
  <si>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</si>
  <si>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</si>
  <si>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</si>
  <si>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</si>
  <si>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</si>
  <si>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</si>
  <si>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</si>
  <si>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</si>
  <si>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</si>
  <si>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</si>
  <si>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</si>
  <si>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</si>
  <si>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</si>
  <si>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</si>
  <si>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</si>
  <si>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</si>
  <si>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</si>
  <si>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</si>
  <si>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</si>
  <si>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</si>
  <si>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</si>
  <si>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</si>
  <si>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</si>
  <si>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</si>
  <si>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</si>
  <si>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</si>
  <si>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</si>
  <si>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</si>
  <si>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</si>
  <si>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</si>
  <si>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</si>
  <si>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</si>
  <si>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</si>
  <si>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</si>
  <si>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</si>
  <si>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</si>
  <si>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</si>
  <si>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</si>
  <si>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</si>
  <si>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</si>
  <si>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</si>
  <si>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</si>
  <si>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</si>
  <si>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</si>
  <si>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</si>
  <si>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</si>
  <si>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</si>
  <si>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</si>
  <si>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</si>
  <si>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</si>
  <si>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</si>
  <si>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</si>
  <si>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</si>
  <si>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</si>
  <si>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</si>
  <si>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</si>
  <si>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</si>
  <si>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</si>
  <si>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</si>
  <si>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</si>
  <si>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</si>
  <si>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</si>
  <si>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</si>
  <si>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</si>
  <si>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</si>
  <si>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</si>
  <si>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</si>
  <si>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</si>
  <si>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</si>
  <si>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</si>
  <si>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</si>
  <si>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</si>
  <si>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</si>
  <si>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</si>
  <si>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</si>
  <si>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</si>
  <si>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</si>
  <si>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</si>
  <si>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</si>
  <si>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</si>
  <si>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</si>
  <si>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</si>
  <si>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</si>
  <si>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</si>
  <si>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</si>
  <si>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</si>
  <si>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</si>
  <si>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</si>
  <si>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</si>
  <si>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</si>
  <si>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</si>
  <si>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</si>
  <si>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</si>
  <si>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</si>
  <si>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</si>
  <si>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</si>
  <si>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</si>
  <si>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</si>
  <si>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</si>
  <si>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</si>
  <si>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</si>
  <si>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</si>
  <si>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</si>
  <si>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</si>
  <si>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</si>
  <si>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</si>
  <si>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</si>
  <si>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</si>
  <si>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</si>
  <si>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</si>
  <si>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</si>
  <si>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</si>
  <si>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</si>
  <si>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</si>
  <si>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</si>
  <si>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</si>
  <si>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</si>
  <si>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</si>
  <si>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</si>
  <si>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</si>
  <si>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</si>
  <si>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</si>
  <si>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</si>
  <si>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</si>
  <si>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</si>
  <si>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</si>
  <si>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</si>
  <si>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</si>
  <si>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</si>
  <si>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</si>
  <si>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</si>
  <si>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</si>
  <si>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</si>
  <si>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</si>
  <si>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</si>
  <si>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</si>
  <si>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</si>
  <si>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</si>
  <si>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</si>
  <si>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</si>
  <si>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</si>
  <si>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</si>
  <si>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</si>
  <si>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</si>
  <si>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</si>
  <si>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</si>
  <si>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</si>
  <si>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</si>
  <si>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</si>
  <si>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</si>
  <si>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</si>
  <si>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</si>
  <si>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</si>
  <si>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</si>
  <si>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</si>
  <si>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</si>
  <si>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</si>
  <si>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</si>
  <si>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</si>
  <si>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</si>
  <si>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</si>
  <si>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</si>
  <si>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</si>
  <si>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</si>
  <si>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</si>
  <si>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</si>
  <si>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</si>
  <si>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</si>
  <si>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</si>
  <si>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</si>
  <si>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</si>
  <si>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</si>
  <si>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</si>
  <si>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</si>
  <si>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</si>
  <si>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</si>
  <si>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</si>
  <si>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</si>
  <si>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</si>
  <si>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</si>
  <si>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</si>
  <si>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</si>
  <si>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</si>
  <si>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</si>
  <si>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</si>
  <si>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</si>
  <si>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</si>
  <si>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</si>
  <si>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</si>
  <si>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</si>
  <si>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</si>
  <si>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</si>
  <si>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</si>
  <si>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</si>
  <si>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</si>
  <si>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</si>
  <si>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</si>
  <si>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</si>
  <si>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</si>
  <si>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</si>
  <si>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</si>
  <si>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</si>
  <si>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</si>
  <si>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</si>
  <si>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</si>
  <si>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</si>
  <si>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</si>
  <si>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</si>
  <si>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</si>
  <si>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</si>
  <si>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</si>
  <si>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</si>
  <si>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</si>
  <si>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</si>
  <si>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</si>
  <si>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</si>
  <si>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</si>
  <si>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</si>
  <si>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</si>
  <si>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</si>
  <si>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</si>
  <si>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</si>
  <si>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</si>
  <si>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</si>
  <si>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</si>
  <si>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</si>
  <si>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</si>
  <si>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</si>
  <si>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</si>
  <si>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</si>
  <si>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</si>
  <si>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</si>
  <si>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</si>
  <si>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</si>
  <si>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</si>
  <si>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</si>
  <si>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</si>
  <si>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</si>
  <si>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</si>
  <si>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</si>
  <si>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</si>
  <si>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</si>
  <si>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</si>
  <si>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</si>
  <si>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</si>
  <si>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</si>
  <si>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</si>
  <si>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</si>
  <si>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</si>
  <si>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</si>
  <si>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</si>
  <si>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</si>
  <si>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</si>
  <si>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</si>
  <si>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</si>
  <si>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</si>
  <si>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</si>
  <si>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</si>
  <si>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</si>
  <si>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</si>
  <si>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</si>
  <si>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</si>
  <si>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</si>
  <si>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</si>
  <si>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</si>
  <si>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</si>
  <si>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</si>
  <si>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</si>
  <si>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</si>
  <si>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</si>
  <si>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</si>
  <si>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</si>
  <si>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</si>
  <si>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</si>
  <si>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</si>
  <si>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</si>
  <si>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</si>
  <si>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</si>
  <si>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</si>
  <si>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</si>
  <si>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</si>
  <si>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</si>
  <si>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</si>
  <si>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</si>
  <si>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</si>
  <si>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</si>
  <si>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</si>
  <si>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</si>
  <si>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</si>
  <si>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</si>
  <si>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</si>
  <si>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</si>
  <si>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</si>
  <si>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</si>
  <si>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</si>
  <si>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</si>
  <si>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</si>
  <si>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</si>
  <si>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</si>
  <si>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</si>
  <si>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</si>
  <si>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</si>
  <si>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</si>
  <si>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</si>
  <si>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</si>
  <si>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</si>
  <si>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</si>
  <si>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</si>
  <si>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</si>
  <si>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</si>
  <si>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</si>
  <si>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</si>
  <si>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</si>
  <si>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</si>
  <si>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</si>
  <si>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</si>
  <si>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</si>
  <si>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</si>
  <si>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</si>
  <si>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</si>
  <si>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</si>
  <si>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</si>
  <si>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</si>
  <si>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</si>
  <si>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</si>
  <si>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</si>
  <si>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</si>
  <si>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</si>
  <si>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</si>
  <si>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</si>
  <si>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</si>
  <si>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</si>
  <si>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</si>
  <si>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</si>
  <si>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</si>
  <si>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</si>
  <si>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</si>
  <si>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</si>
  <si>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</si>
  <si>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</si>
  <si>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</si>
  <si>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</si>
  <si>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</si>
  <si>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</si>
  <si>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</si>
  <si>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</si>
  <si>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</si>
  <si>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</si>
  <si>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</si>
  <si>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</si>
  <si>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</si>
  <si>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</si>
  <si>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</si>
  <si>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</si>
  <si>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</si>
  <si>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</si>
  <si>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</si>
  <si>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</si>
  <si>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</si>
  <si>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</si>
  <si>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</si>
  <si>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</si>
  <si>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</si>
  <si>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</si>
  <si>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</si>
  <si>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</si>
  <si>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</si>
  <si>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</si>
  <si>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</si>
  <si>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</si>
  <si>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</si>
  <si>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</si>
  <si>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</si>
  <si>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</si>
  <si>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</si>
  <si>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</si>
  <si>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</si>
  <si>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</si>
  <si>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</si>
  <si>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</si>
  <si>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</si>
  <si>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</si>
  <si>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</si>
  <si>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</si>
  <si>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</si>
  <si>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</si>
  <si>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</si>
  <si>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</si>
  <si>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</si>
  <si>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</si>
  <si>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</si>
  <si>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</si>
  <si>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</si>
  <si>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</si>
  <si>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</si>
  <si>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</si>
  <si>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</si>
  <si>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</si>
  <si>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</si>
  <si>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</si>
  <si>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</si>
  <si>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</si>
  <si>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</si>
  <si>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</si>
  <si>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</si>
  <si>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</si>
  <si>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</si>
  <si>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</si>
  <si>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</si>
  <si>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</si>
  <si>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</si>
  <si>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</si>
  <si>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</si>
  <si>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</si>
  <si>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</si>
  <si>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</si>
  <si>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</si>
  <si>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</si>
  <si>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</si>
  <si>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</si>
  <si>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</si>
  <si>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</si>
  <si>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</si>
  <si>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</si>
  <si>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</si>
  <si>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</si>
  <si>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</si>
  <si>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</si>
  <si>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</si>
  <si>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</si>
  <si>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</si>
  <si>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</si>
  <si>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</si>
  <si>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</si>
  <si>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</si>
  <si>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</si>
  <si>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</si>
  <si>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</si>
  <si>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</si>
  <si>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</si>
  <si>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</si>
  <si>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</si>
  <si>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</si>
  <si>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</si>
  <si>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</si>
  <si>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</si>
  <si>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</si>
  <si>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</si>
  <si>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</si>
  <si>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</si>
  <si>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</si>
  <si>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</si>
  <si>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</si>
  <si>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</si>
  <si>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</si>
  <si>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</si>
  <si>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</si>
  <si>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</si>
  <si>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</si>
  <si>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</si>
  <si>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</si>
  <si>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</si>
  <si>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</si>
  <si>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</si>
  <si>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</si>
  <si>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</si>
  <si>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</si>
  <si>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</si>
  <si>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</si>
  <si>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</si>
  <si>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</si>
  <si>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</si>
  <si>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</si>
  <si>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</si>
  <si>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</si>
  <si>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</si>
  <si>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</si>
  <si>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</si>
  <si>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</si>
  <si>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</si>
  <si>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</si>
  <si>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</si>
  <si>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</si>
  <si>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</si>
  <si>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</si>
  <si>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</si>
  <si>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</si>
  <si>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</si>
  <si>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</si>
  <si>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</si>
  <si>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</si>
  <si>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</si>
  <si>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</si>
  <si>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</si>
  <si>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</si>
  <si>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</si>
  <si>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</si>
  <si>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</si>
  <si>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</si>
  <si>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</si>
  <si>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</si>
  <si>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</si>
  <si>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</si>
  <si>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</si>
  <si>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</si>
  <si>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</si>
  <si>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</si>
  <si>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</si>
  <si>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</si>
  <si>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</si>
  <si>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</si>
  <si>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</si>
  <si>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</si>
  <si>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</si>
  <si>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</si>
  <si>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</si>
  <si>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</si>
  <si>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</si>
  <si>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</si>
  <si>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</si>
  <si>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</si>
  <si>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</si>
  <si>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</si>
  <si>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</si>
  <si>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</si>
  <si>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</si>
  <si>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</si>
  <si>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</si>
  <si>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</si>
  <si>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</si>
  <si>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</si>
  <si>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</si>
  <si>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</si>
  <si>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</si>
  <si>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</si>
  <si>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</si>
  <si>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</si>
  <si>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</si>
  <si>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</si>
  <si>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</si>
  <si>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</si>
  <si>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</si>
  <si>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</si>
  <si>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</si>
  <si>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</si>
  <si>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</si>
  <si>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</si>
  <si>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</si>
  <si>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</si>
  <si>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</si>
  <si>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</si>
  <si>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</si>
  <si>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</si>
  <si>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</si>
  <si>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</si>
  <si>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</si>
  <si>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</si>
  <si>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</si>
  <si>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</si>
  <si>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</si>
  <si>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</si>
  <si>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</si>
  <si>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</si>
  <si>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</si>
  <si>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</si>
  <si>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</si>
  <si>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</si>
  <si>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</si>
  <si>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</si>
  <si>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</si>
  <si>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</si>
  <si>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</si>
  <si>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</si>
  <si>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</si>
  <si>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</si>
  <si>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</si>
  <si>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</si>
  <si>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</si>
  <si>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</si>
  <si>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</si>
  <si>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</si>
  <si>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</si>
  <si>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</si>
  <si>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</si>
  <si>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</si>
  <si>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</si>
  <si>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</si>
  <si>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</si>
  <si>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</si>
  <si>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</si>
  <si>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</si>
  <si>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</si>
  <si>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</si>
  <si>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</si>
  <si>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</si>
  <si>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</si>
  <si>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</si>
  <si>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</si>
  <si>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</si>
  <si>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</si>
  <si>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</si>
  <si>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</si>
  <si>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</si>
  <si>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</si>
  <si>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</si>
  <si>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</si>
  <si>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</si>
  <si>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</si>
  <si>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</si>
  <si>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</si>
  <si>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</si>
  <si>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</si>
  <si>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</si>
  <si>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</si>
  <si>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</si>
  <si>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</si>
  <si>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</si>
  <si>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</si>
  <si>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</si>
  <si>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</si>
  <si>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</si>
  <si>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</si>
  <si>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</si>
  <si>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</si>
  <si>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</si>
  <si>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</si>
  <si>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</si>
  <si>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</si>
  <si>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</si>
  <si>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</si>
  <si>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</si>
  <si>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</si>
  <si>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</si>
  <si>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</si>
  <si>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</si>
  <si>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</si>
  <si>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</si>
  <si>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</si>
  <si>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</si>
  <si>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</si>
  <si>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</si>
  <si>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</si>
  <si>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</si>
  <si>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</si>
  <si>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</si>
  <si>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</si>
  <si>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</si>
  <si>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</si>
  <si>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</si>
  <si>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</si>
  <si>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</si>
  <si>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</si>
  <si>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</si>
  <si>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</si>
  <si>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</si>
  <si>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</si>
  <si>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</si>
  <si>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</si>
  <si>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</si>
  <si>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</si>
  <si>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</si>
  <si>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</si>
  <si>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</si>
  <si>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</si>
  <si>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</si>
  <si>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</si>
  <si>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</si>
  <si>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</si>
  <si>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</si>
  <si>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</si>
  <si>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</si>
  <si>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</si>
  <si>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</si>
  <si>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</si>
  <si>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</si>
  <si>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</si>
  <si>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</si>
  <si>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</si>
  <si>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</si>
  <si>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</si>
  <si>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</si>
  <si>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</si>
  <si>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</si>
  <si>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</si>
  <si>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</si>
  <si>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</si>
  <si>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</si>
  <si>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</si>
  <si>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</si>
  <si>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</si>
  <si>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</si>
  <si>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</si>
  <si>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</si>
  <si>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</si>
  <si>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</si>
  <si>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</si>
  <si>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</si>
  <si>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</si>
  <si>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</si>
  <si>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</si>
  <si>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</si>
  <si>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</si>
  <si>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</si>
  <si>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</si>
  <si>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</si>
  <si>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</si>
  <si>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</si>
  <si>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</si>
  <si>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</si>
  <si>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</si>
  <si>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</si>
  <si>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</si>
  <si>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</si>
  <si>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</si>
  <si>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</si>
  <si>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</si>
  <si>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</si>
  <si>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</si>
  <si>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</si>
  <si>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</si>
  <si>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</si>
  <si>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</si>
  <si>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</si>
  <si>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</si>
  <si>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</si>
  <si>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</si>
  <si>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</si>
  <si>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</si>
  <si>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</si>
  <si>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</si>
  <si>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</si>
  <si>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</si>
  <si>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</si>
  <si>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</si>
  <si>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</si>
  <si>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</si>
  <si>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</si>
  <si>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</si>
  <si>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</si>
  <si>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</si>
  <si>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</si>
  <si>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</si>
  <si>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</si>
  <si>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</si>
  <si>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</si>
  <si>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</si>
  <si>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</si>
  <si>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</si>
  <si>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</si>
  <si>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</si>
  <si>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</si>
  <si>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</si>
  <si>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</si>
  <si>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</si>
  <si>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</si>
  <si>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</si>
  <si>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</si>
  <si>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</si>
  <si>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</si>
  <si>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</si>
  <si>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</si>
  <si>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</si>
  <si>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</si>
  <si>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</si>
  <si>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</si>
  <si>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</si>
  <si>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</si>
  <si>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</si>
  <si>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</si>
  <si>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</si>
  <si>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</si>
  <si>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</si>
  <si>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</si>
  <si>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</si>
  <si>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</si>
  <si>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</si>
  <si>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</si>
  <si>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</si>
  <si>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</si>
  <si>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</si>
  <si>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</si>
  <si>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</si>
  <si>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</si>
  <si>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</si>
  <si>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</si>
  <si>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</si>
  <si>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</si>
  <si>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</si>
  <si>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</si>
  <si>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</si>
  <si>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</si>
  <si>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</si>
  <si>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</si>
  <si>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</si>
  <si>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</si>
  <si>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</si>
  <si>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</si>
  <si>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</si>
  <si>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</si>
  <si>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</si>
  <si>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</si>
  <si>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</si>
  <si>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</si>
  <si>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</si>
  <si>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</si>
  <si>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</si>
  <si>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</si>
  <si>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</si>
  <si>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</si>
  <si>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</si>
  <si>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</si>
  <si>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</si>
  <si>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</si>
  <si>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</si>
  <si>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</si>
  <si>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</si>
  <si>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</si>
  <si>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</si>
  <si>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</si>
  <si>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</si>
  <si>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</si>
  <si>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</si>
  <si>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</si>
  <si>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</si>
  <si>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</si>
  <si>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</si>
  <si>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</si>
  <si>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</si>
  <si>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</si>
  <si>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</si>
  <si>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</si>
  <si>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</si>
  <si>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</si>
  <si>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</si>
  <si>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</si>
  <si>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</si>
  <si>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</si>
  <si>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</si>
  <si>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</si>
  <si>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</si>
  <si>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</si>
  <si>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</si>
  <si>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</si>
  <si>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</si>
  <si>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</si>
  <si>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</si>
  <si>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</si>
  <si>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</si>
  <si>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</si>
  <si>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</si>
  <si>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</si>
  <si>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</si>
  <si>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</si>
  <si>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</si>
  <si>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</si>
  <si>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</si>
  <si>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</si>
  <si>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</si>
  <si>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</si>
  <si>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</si>
  <si>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</si>
  <si>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</si>
  <si>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</si>
  <si>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</si>
  <si>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</si>
  <si>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</si>
  <si>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</si>
  <si>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</si>
  <si>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</si>
  <si>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</si>
  <si>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</si>
  <si>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</si>
  <si>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</si>
  <si>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</si>
  <si>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</si>
  <si>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</si>
  <si>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</si>
  <si>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</si>
  <si>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</si>
  <si>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</si>
  <si>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</si>
  <si>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</si>
  <si>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</si>
  <si>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</si>
  <si>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</si>
  <si>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</si>
  <si>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</si>
  <si>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</si>
  <si>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</si>
  <si>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</si>
  <si>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</si>
  <si>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</si>
  <si>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</si>
  <si>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</si>
  <si>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</si>
  <si>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</si>
  <si>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</si>
  <si>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</si>
  <si>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</si>
  <si>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</si>
  <si>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</si>
  <si>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</si>
  <si>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</si>
  <si>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</si>
  <si>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</si>
  <si>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</si>
  <si>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</si>
  <si>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</si>
  <si>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</si>
  <si>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</si>
  <si>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</si>
  <si>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</si>
  <si>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</si>
  <si>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</si>
  <si>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</si>
  <si>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</si>
  <si>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</si>
  <si>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</si>
  <si>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</si>
  <si>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</si>
  <si>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</si>
  <si>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</si>
  <si>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</si>
  <si>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</si>
  <si>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</si>
  <si>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</si>
  <si>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</si>
  <si>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</si>
  <si>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</si>
  <si>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</si>
  <si>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</si>
  <si>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</si>
  <si>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</si>
  <si>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</si>
  <si>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</si>
  <si>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</si>
  <si>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</si>
  <si>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</si>
  <si>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</si>
  <si>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</si>
  <si>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</si>
  <si>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</si>
  <si>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</si>
  <si>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</si>
  <si>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</si>
  <si>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August 2004</t>
  </si>
  <si>
    <t>August 2024</t>
  </si>
  <si>
    <t>The school board will meet on September 18, 2024 to determine Retained Fund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</si>
</sst>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9" zoomScale="110" zoomScaleNormal="11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1468</v>
      </c>
      <c r="B2">
        <f>INDEX('School Tables'!$AH$3:$AH$213,MATCH('DOE25'!A2,'School Tables'!$AJ$3:$AJ$213,0))</f>
        <v>581</v>
      </c>
      <c r="C2">
        <f>INDEX('School Tables'!$AI$3:$AI$213,MATCH('DOE25'!A2,'School Tables'!$AJ$3:$AJ$213,0))</f>
        <v>581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291224.18</v>
      </c>
      <c r="G9" s="18">
        <v>200</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872998.56</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161116.35999999999</v>
      </c>
      <c r="G12" s="18">
        <v>99599.13</v>
      </c>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17241.93</v>
      </c>
      <c r="G13" s="18"/>
      <c r="H13" s="18">
        <v>175194.59</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6625.32</v>
      </c>
      <c r="G14" s="18">
        <v>5000</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12529.86</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83000</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559207.79</v>
      </c>
      <c r="G19" s="38">
        <f>SUM(G9:G18)</f>
        <v>117328.99</v>
      </c>
      <c r="H19" s="38">
        <f>SUM(H9:H18)</f>
        <v>175194.59</v>
      </c>
      <c r="I19" s="38">
        <f>SUM(I9:I18)</f>
        <v>0</v>
      </c>
      <c r="J19" s="38">
        <f>SUM(J9:J18)</f>
        <v>872998.56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f>H19-H24-H28</f>
        <v>151330.44999999998</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121843.05</v>
      </c>
      <c r="G24" s="18">
        <v>46.74</v>
      </c>
      <c r="H24" s="18">
        <v>20951.939999999999</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69931.63+4352.56+6038.58</f>
        <v>80322.77</v>
      </c>
      <c r="G28" s="18"/>
      <c r="H28" s="18">
        <f>2509.4+112.91+289.89</f>
        <v>2912.2</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6008.52</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11000</v>
      </c>
      <c r="G30" s="18">
        <v>18534.87</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219174.34</v>
      </c>
      <c r="G32" s="38">
        <f>SUM(G22:G31)</f>
        <v>18581.61</v>
      </c>
      <c r="H32" s="38">
        <f>SUM(H22:H31)</f>
        <v>175194.59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12529.86</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83000</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G19-G32-G35</f>
        <v>86217.52</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165253</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5597.06</v>
      </c>
      <c r="G48" s="18"/>
      <c r="H48" s="18"/>
      <c r="I48" s="18"/>
      <c r="J48" s="13">
        <f>SUM(I460)</f>
        <v>872998.56</v>
      </c>
      <c r="K48" s="23" t="s">
        <v>288</v>
      </c>
      <c r="L48" s="23" t="s">
        <v>288</v>
      </c>
      <c r="M48" s="8"/>
      <c r="N48" s="164"/>
    </row>
    <row r="49" spans="1:14" s="3" customFormat="1" ht="12.2" customHeight="1" x14ac:dyDescent="0.15">
      <c r="A49" s="1" t="s">
        <v>855</v>
      </c>
      <c r="B49" s="2" t="s">
        <v>289</v>
      </c>
      <c r="C49" s="6">
        <v>34</v>
      </c>
      <c r="D49" s="2"/>
      <c r="E49" s="6">
        <v>753</v>
      </c>
      <c r="F49" s="18">
        <f>542.13+85638.083+3.18</f>
        <v>86183.392999999996</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340033.45299999998</v>
      </c>
      <c r="G51" s="38">
        <f>SUM(G35:G50)</f>
        <v>98747.38</v>
      </c>
      <c r="H51" s="38">
        <f>SUM(H35:H50)</f>
        <v>0</v>
      </c>
      <c r="I51" s="38">
        <f>SUM(I35:I50)</f>
        <v>0</v>
      </c>
      <c r="J51" s="38">
        <f>SUM(J35:J50)</f>
        <v>872998.56</v>
      </c>
      <c r="K51" s="42" t="s">
        <v>288</v>
      </c>
      <c r="L51" s="42" t="s">
        <v>288</v>
      </c>
      <c r="N51" s="130"/>
    </row>
    <row r="52" spans="1:14" s="3" customFormat="1" ht="12.2" customHeight="1" thickTop="1" x14ac:dyDescent="0.15">
      <c r="A52" s="35" t="s">
        <v>455</v>
      </c>
      <c r="B52" s="36" t="s">
        <v>289</v>
      </c>
      <c r="C52" s="6">
        <v>37</v>
      </c>
      <c r="D52" s="36" t="s">
        <v>653</v>
      </c>
      <c r="E52" s="36"/>
      <c r="F52" s="38">
        <f>F51+F32</f>
        <v>559207.79299999995</v>
      </c>
      <c r="G52" s="38">
        <f>G51+G32</f>
        <v>117328.99</v>
      </c>
      <c r="H52" s="38">
        <f>H51+H32</f>
        <v>175194.59</v>
      </c>
      <c r="I52" s="38">
        <f>I51+I32</f>
        <v>0</v>
      </c>
      <c r="J52" s="38">
        <f>J51+J32</f>
        <v>872998.56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1773504+3279425+6802476+10639323</f>
        <v>22494728</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22494728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231142.54</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231142.54</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67174.02</v>
      </c>
      <c r="G96" s="18"/>
      <c r="H96" s="18"/>
      <c r="I96" s="18"/>
      <c r="J96" s="18">
        <f>67987.96-0.38</f>
        <v>67987.58</v>
      </c>
      <c r="K96" s="23" t="s">
        <v>288</v>
      </c>
      <c r="L96" s="23" t="s">
        <v>288</v>
      </c>
      <c r="M96" s="8"/>
      <c r="N96" s="164"/>
    </row>
    <row r="97" spans="1:14" s="3" customFormat="1" ht="12.2" customHeight="1" x14ac:dyDescent="0.15">
      <c r="A97" s="1" t="s">
        <v>503</v>
      </c>
      <c r="B97" s="2" t="s">
        <v>315</v>
      </c>
      <c r="C97" s="6">
        <v>12</v>
      </c>
      <c r="D97" s="2" t="s">
        <v>430</v>
      </c>
      <c r="E97" s="6">
        <v>1600</v>
      </c>
      <c r="F97" s="23" t="s">
        <v>288</v>
      </c>
      <c r="G97" s="18">
        <f>449001.34+12622.03+5</f>
        <v>461628.37000000005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8684</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12924.8</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f>5745.71+45358.01</f>
        <v>51103.72</v>
      </c>
      <c r="G102" s="18">
        <v>5000</v>
      </c>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5453.49</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18760.06+21995.97+138+17983.5</f>
        <v>58877.53</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204217.56</v>
      </c>
      <c r="G111" s="38">
        <f>SUM(G96:G110)</f>
        <v>466628.37000000005</v>
      </c>
      <c r="H111" s="38">
        <f>SUM(H96:H110)</f>
        <v>0</v>
      </c>
      <c r="I111" s="38">
        <f>SUM(I96:I110)</f>
        <v>0</v>
      </c>
      <c r="J111" s="38">
        <f>SUM(J96:J110)</f>
        <v>67987.58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22930088.099999998</v>
      </c>
      <c r="G112" s="38">
        <f>G60+G111</f>
        <v>466628.37000000005</v>
      </c>
      <c r="H112" s="38">
        <f>H60+H79+H94+H111</f>
        <v>0</v>
      </c>
      <c r="I112" s="38">
        <f>I60+I111</f>
        <v>0</v>
      </c>
      <c r="J112" s="38">
        <f>J60+J111</f>
        <v>67987.58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782974.3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f>2538343+334320+711874+1132354</f>
        <v>4716891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5695.56</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5505560.8599999994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992339.18</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641994.98</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13756.4</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5070.8599999999997</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1648090.56</v>
      </c>
      <c r="G136" s="38">
        <f>SUM(G123:G135)</f>
        <v>5070.8599999999997</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7153651.4199999999</v>
      </c>
      <c r="G140" s="38">
        <f>G121+SUM(G136:G137)</f>
        <v>5070.8599999999997</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219150.02</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167587.73000000001</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23549.21</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144370.74</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344912.76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100551.39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60256.95</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629076.89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100551.39</v>
      </c>
      <c r="G163" s="38">
        <f>SUM(G150:G162)</f>
        <v>144370.74</v>
      </c>
      <c r="H163" s="38">
        <f>SUM(H150:H162)</f>
        <v>1444533.56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92332.5</v>
      </c>
      <c r="G169" s="18">
        <v>27483.18</v>
      </c>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192883.89</v>
      </c>
      <c r="G170" s="38">
        <f>G147+G163+SUM(G164:G169)</f>
        <v>171853.91999999998</v>
      </c>
      <c r="H170" s="38">
        <f>H147+H163+SUM(H164:H169)</f>
        <v>1444533.56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2291</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2291</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113384</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113384</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113384</v>
      </c>
      <c r="G193" s="38">
        <f>G184+SUM(G189:G192)</f>
        <v>2291</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30390007.409999996</v>
      </c>
      <c r="G194" s="38">
        <f>G112+G140+G170+G193</f>
        <v>645844.15</v>
      </c>
      <c r="H194" s="38">
        <f>H112+H140+H170+H193</f>
        <v>1444533.56</v>
      </c>
      <c r="I194" s="38">
        <f>I112+I140+I170+I193</f>
        <v>0</v>
      </c>
      <c r="J194" s="38">
        <f>J112+J140+J193</f>
        <v>67987.58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4"/>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7686202.7800000003</v>
      </c>
      <c r="G234" s="18">
        <v>3738317.71</v>
      </c>
      <c r="H234" s="18">
        <v>211196.5</v>
      </c>
      <c r="I234" s="18">
        <f>99921.52-0.29</f>
        <v>99921.23000000001</v>
      </c>
      <c r="J234" s="18">
        <v>28790.68</v>
      </c>
      <c r="K234" s="18"/>
      <c r="L234" s="13">
        <f>SUM(F234:K234)</f>
        <v>11764428.9</v>
      </c>
      <c r="M234" s="8"/>
      <c r="N234" s="164"/>
    </row>
    <row r="235" spans="1:14" s="3" customFormat="1" ht="12.2" customHeight="1" x14ac:dyDescent="0.15">
      <c r="A235" s="1" t="s">
        <v>439</v>
      </c>
      <c r="B235" s="2" t="s">
        <v>350</v>
      </c>
      <c r="C235" s="2" t="s">
        <v>291</v>
      </c>
      <c r="D235" s="2" t="s">
        <v>431</v>
      </c>
      <c r="E235" s="6">
        <v>1200</v>
      </c>
      <c r="F235" s="18">
        <v>2205199.27</v>
      </c>
      <c r="G235" s="18">
        <v>1050976.25</v>
      </c>
      <c r="H235" s="18">
        <v>1787762.76</v>
      </c>
      <c r="I235" s="18">
        <v>2508.85</v>
      </c>
      <c r="J235" s="18">
        <v>961.46</v>
      </c>
      <c r="K235" s="18">
        <v>1030</v>
      </c>
      <c r="L235" s="13">
        <f>SUM(F235:K235)</f>
        <v>5048438.59</v>
      </c>
      <c r="M235" s="8"/>
      <c r="N235" s="164"/>
    </row>
    <row r="236" spans="1:14" s="3" customFormat="1" ht="12.2" customHeight="1" x14ac:dyDescent="0.15">
      <c r="A236" s="1" t="s">
        <v>440</v>
      </c>
      <c r="B236" s="2" t="s">
        <v>350</v>
      </c>
      <c r="C236" s="2" t="s">
        <v>292</v>
      </c>
      <c r="D236" s="2" t="s">
        <v>431</v>
      </c>
      <c r="E236" s="6">
        <v>1300</v>
      </c>
      <c r="F236" s="18"/>
      <c r="G236" s="18"/>
      <c r="H236" s="18">
        <v>308233.96000000002</v>
      </c>
      <c r="I236" s="18"/>
      <c r="J236" s="18"/>
      <c r="K236" s="18"/>
      <c r="L236" s="13">
        <f>SUM(F236:K236)</f>
        <v>308233.96000000002</v>
      </c>
      <c r="M236" s="8"/>
      <c r="N236" s="164"/>
    </row>
    <row r="237" spans="1:14" s="3" customFormat="1" ht="12.2" customHeight="1" x14ac:dyDescent="0.15">
      <c r="A237" s="1" t="s">
        <v>441</v>
      </c>
      <c r="B237" s="2" t="s">
        <v>350</v>
      </c>
      <c r="C237" s="2" t="s">
        <v>293</v>
      </c>
      <c r="D237" s="2" t="s">
        <v>431</v>
      </c>
      <c r="E237" s="6">
        <v>1400</v>
      </c>
      <c r="F237" s="18">
        <f>605715.97+65136.16</f>
        <v>670852.13</v>
      </c>
      <c r="G237" s="18">
        <f>198126.59+17775.66</f>
        <v>215902.25</v>
      </c>
      <c r="H237" s="18">
        <v>191764.45</v>
      </c>
      <c r="I237" s="18">
        <f>110453.34+13709.9</f>
        <v>124163.23999999999</v>
      </c>
      <c r="J237" s="18">
        <v>4045.37</v>
      </c>
      <c r="K237" s="18">
        <f>745.36+57578.68</f>
        <v>58324.04</v>
      </c>
      <c r="L237" s="13">
        <f>SUM(F237:K237)</f>
        <v>1265051.4800000002</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913839.13+165738+66463</f>
        <v>1146040.1299999999</v>
      </c>
      <c r="G239" s="18">
        <v>558680.92000000004</v>
      </c>
      <c r="H239" s="18">
        <f>1000+42289.55+1264</f>
        <v>44553.55</v>
      </c>
      <c r="I239" s="18">
        <f>447.1+2308.51</f>
        <v>2755.61</v>
      </c>
      <c r="J239" s="18"/>
      <c r="K239" s="18">
        <v>350</v>
      </c>
      <c r="L239" s="13">
        <f t="shared" ref="L239:L245" si="4">SUM(F239:K239)</f>
        <v>1752380.21</v>
      </c>
      <c r="M239" s="8"/>
      <c r="N239" s="164"/>
    </row>
    <row r="240" spans="1:14" s="3" customFormat="1" ht="12.2" customHeight="1" x14ac:dyDescent="0.15">
      <c r="A240" s="1" t="s">
        <v>443</v>
      </c>
      <c r="B240" s="2" t="s">
        <v>350</v>
      </c>
      <c r="C240" s="2" t="s">
        <v>295</v>
      </c>
      <c r="D240" s="2" t="s">
        <v>431</v>
      </c>
      <c r="E240" s="6">
        <v>2200</v>
      </c>
      <c r="F240" s="18">
        <f>401040.52+100159.23+378411.7+12040</f>
        <v>891651.45</v>
      </c>
      <c r="G240" s="18">
        <f>19626+402530.76</f>
        <v>422156.76</v>
      </c>
      <c r="H240" s="18">
        <f>10340.24+2526.24+64793.68</f>
        <v>77660.160000000003</v>
      </c>
      <c r="I240" s="18">
        <f>1060.41+42752.89+156952.21</f>
        <v>200765.51</v>
      </c>
      <c r="J240" s="18">
        <f>2675.26+208533.86</f>
        <v>211209.12</v>
      </c>
      <c r="K240" s="18"/>
      <c r="L240" s="13">
        <f t="shared" si="4"/>
        <v>1803443</v>
      </c>
      <c r="M240" s="8"/>
      <c r="N240" s="164"/>
    </row>
    <row r="241" spans="1:14" s="3" customFormat="1" ht="12.2" customHeight="1" x14ac:dyDescent="0.15">
      <c r="A241" s="1" t="s">
        <v>444</v>
      </c>
      <c r="B241" s="2" t="s">
        <v>350</v>
      </c>
      <c r="C241" s="2" t="s">
        <v>296</v>
      </c>
      <c r="D241" s="2" t="s">
        <v>431</v>
      </c>
      <c r="E241" s="6">
        <v>2300</v>
      </c>
      <c r="F241" s="18">
        <v>33843.5</v>
      </c>
      <c r="G241" s="18">
        <v>2589.3000000000002</v>
      </c>
      <c r="H241" s="18">
        <f>50544.72+1017704</f>
        <v>1068248.72</v>
      </c>
      <c r="I241" s="18"/>
      <c r="J241" s="18"/>
      <c r="K241" s="18">
        <v>6260.9</v>
      </c>
      <c r="L241" s="13">
        <f t="shared" si="4"/>
        <v>1110942.42</v>
      </c>
      <c r="M241" s="8"/>
      <c r="N241" s="164"/>
    </row>
    <row r="242" spans="1:14" s="3" customFormat="1" ht="12.2" customHeight="1" x14ac:dyDescent="0.15">
      <c r="A242" s="1" t="s">
        <v>445</v>
      </c>
      <c r="B242" s="2" t="s">
        <v>350</v>
      </c>
      <c r="C242" s="2" t="s">
        <v>297</v>
      </c>
      <c r="D242" s="2" t="s">
        <v>431</v>
      </c>
      <c r="E242" s="6">
        <v>2400</v>
      </c>
      <c r="F242" s="18">
        <v>866918.35</v>
      </c>
      <c r="G242" s="18">
        <f>17485.14+416272.3</f>
        <v>433757.44</v>
      </c>
      <c r="H242" s="18">
        <v>127697.60000000001</v>
      </c>
      <c r="I242" s="18">
        <v>17070.93</v>
      </c>
      <c r="J242" s="18"/>
      <c r="K242" s="18">
        <v>65916</v>
      </c>
      <c r="L242" s="13">
        <f t="shared" si="4"/>
        <v>1511360.32</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v>977079.52</v>
      </c>
      <c r="G244" s="18">
        <v>389090.28</v>
      </c>
      <c r="H244" s="18">
        <f>384853.69+252139.65+8143.46</f>
        <v>645136.79999999993</v>
      </c>
      <c r="I244" s="18">
        <v>503693.68</v>
      </c>
      <c r="J244" s="18">
        <f>72777.79+4605.99+27079.5</f>
        <v>104463.28</v>
      </c>
      <c r="K244" s="18"/>
      <c r="L244" s="13">
        <f t="shared" si="4"/>
        <v>2619463.56</v>
      </c>
      <c r="M244" s="8"/>
      <c r="N244" s="164"/>
    </row>
    <row r="245" spans="1:14" s="3" customFormat="1" ht="12.2" customHeight="1" x14ac:dyDescent="0.15">
      <c r="A245" s="1" t="s">
        <v>448</v>
      </c>
      <c r="B245" s="2" t="s">
        <v>350</v>
      </c>
      <c r="C245" s="2" t="s">
        <v>300</v>
      </c>
      <c r="D245" s="2" t="s">
        <v>431</v>
      </c>
      <c r="E245" s="6">
        <v>2700</v>
      </c>
      <c r="F245" s="18"/>
      <c r="G245" s="18"/>
      <c r="H245" s="18">
        <f>676505.7+579243.96+136440.9+12381.21+78105.78</f>
        <v>1482677.5499999998</v>
      </c>
      <c r="I245" s="18"/>
      <c r="J245" s="18"/>
      <c r="K245" s="18"/>
      <c r="L245" s="13">
        <f t="shared" si="4"/>
        <v>1482677.5499999998</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v>2472.6</v>
      </c>
      <c r="L246" s="13">
        <f>SUM(F246:K246)</f>
        <v>2472.6</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14477787.130000001</v>
      </c>
      <c r="G248" s="38">
        <f t="shared" si="5"/>
        <v>6811470.9100000001</v>
      </c>
      <c r="H248" s="38">
        <f t="shared" si="5"/>
        <v>5944932.0500000007</v>
      </c>
      <c r="I248" s="38">
        <f t="shared" si="5"/>
        <v>950879.05</v>
      </c>
      <c r="J248" s="38">
        <f t="shared" si="5"/>
        <v>349469.91000000003</v>
      </c>
      <c r="K248" s="38">
        <f t="shared" si="5"/>
        <v>134353.54</v>
      </c>
      <c r="L248" s="38">
        <f t="shared" si="5"/>
        <v>28668892.590000004</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v>129124.03</v>
      </c>
      <c r="G252" s="18">
        <v>10443.41</v>
      </c>
      <c r="H252" s="18"/>
      <c r="I252" s="18">
        <v>262.95999999999998</v>
      </c>
      <c r="J252" s="18"/>
      <c r="K252" s="18"/>
      <c r="L252" s="13">
        <f t="shared" si="6"/>
        <v>139830.39999999999</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463688</v>
      </c>
      <c r="I256" s="18"/>
      <c r="J256" s="18"/>
      <c r="K256" s="18"/>
      <c r="L256" s="13">
        <f t="shared" si="6"/>
        <v>463688</v>
      </c>
      <c r="M256" s="8"/>
      <c r="N256" s="164"/>
    </row>
    <row r="257" spans="1:14" s="3" customFormat="1" ht="12.2" customHeight="1" thickTop="1" thickBot="1" x14ac:dyDescent="0.2">
      <c r="A257" s="35" t="s">
        <v>461</v>
      </c>
      <c r="B257" s="37">
        <v>10</v>
      </c>
      <c r="C257" s="37">
        <v>7</v>
      </c>
      <c r="D257" s="36" t="s">
        <v>431</v>
      </c>
      <c r="E257" s="37"/>
      <c r="F257" s="38">
        <f t="shared" ref="F257:K257" si="7">SUM(F251:F256)</f>
        <v>129124.03</v>
      </c>
      <c r="G257" s="38">
        <f t="shared" si="7"/>
        <v>10443.41</v>
      </c>
      <c r="H257" s="38">
        <f t="shared" si="7"/>
        <v>463688</v>
      </c>
      <c r="I257" s="38">
        <f t="shared" si="7"/>
        <v>262.95999999999998</v>
      </c>
      <c r="J257" s="38">
        <f t="shared" si="7"/>
        <v>0</v>
      </c>
      <c r="K257" s="38">
        <f t="shared" si="7"/>
        <v>0</v>
      </c>
      <c r="L257" s="38">
        <f>SUM(F257:K257)</f>
        <v>603518.39999999991</v>
      </c>
      <c r="M257" s="8"/>
      <c r="N257" s="164"/>
    </row>
    <row r="258" spans="1:14" s="3" customFormat="1" ht="12.2" customHeight="1" thickTop="1" x14ac:dyDescent="0.15">
      <c r="A258" s="35" t="s">
        <v>462</v>
      </c>
      <c r="B258" s="37">
        <v>10</v>
      </c>
      <c r="C258" s="37">
        <v>8</v>
      </c>
      <c r="D258" s="36" t="s">
        <v>431</v>
      </c>
      <c r="E258" s="37"/>
      <c r="F258" s="38">
        <f t="shared" ref="F258:L258" si="8">F212+F230+F248+F257</f>
        <v>14606911.16</v>
      </c>
      <c r="G258" s="38">
        <f t="shared" si="8"/>
        <v>6821914.3200000003</v>
      </c>
      <c r="H258" s="38">
        <f t="shared" si="8"/>
        <v>6408620.0500000007</v>
      </c>
      <c r="I258" s="38">
        <f t="shared" si="8"/>
        <v>951142.01</v>
      </c>
      <c r="J258" s="38">
        <f t="shared" si="8"/>
        <v>349469.91000000003</v>
      </c>
      <c r="K258" s="38">
        <f t="shared" si="8"/>
        <v>134353.54</v>
      </c>
      <c r="L258" s="38">
        <f t="shared" si="8"/>
        <v>29272410.990000002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1865000</v>
      </c>
      <c r="L261" s="13">
        <f>SUM(F261:K261)</f>
        <v>1865000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106439</v>
      </c>
      <c r="L262" s="13">
        <f>SUM(F262:K262)</f>
        <v>106439</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2291</v>
      </c>
      <c r="L264" s="13">
        <f>SUM(F264:K264)</f>
        <v>2291</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1973730</v>
      </c>
      <c r="L271" s="38">
        <f t="shared" si="9"/>
        <v>1973730</v>
      </c>
      <c r="M271" s="8"/>
      <c r="N271" s="164"/>
    </row>
    <row r="272" spans="1:14" s="33" customFormat="1" ht="12.2" customHeight="1" thickTop="1" x14ac:dyDescent="0.2">
      <c r="A272" s="40" t="s">
        <v>464</v>
      </c>
      <c r="B272" s="37">
        <v>10</v>
      </c>
      <c r="C272" s="37">
        <v>18</v>
      </c>
      <c r="D272" s="36" t="s">
        <v>431</v>
      </c>
      <c r="E272" s="37"/>
      <c r="F272" s="39">
        <f t="shared" ref="F272:L272" si="11">F258+F271</f>
        <v>14606911.16</v>
      </c>
      <c r="G272" s="39">
        <f t="shared" si="11"/>
        <v>6821914.3200000003</v>
      </c>
      <c r="H272" s="39">
        <f t="shared" si="11"/>
        <v>6408620.0500000007</v>
      </c>
      <c r="I272" s="39">
        <f t="shared" si="11"/>
        <v>951142.01</v>
      </c>
      <c r="J272" s="39">
        <f t="shared" si="11"/>
        <v>349469.91000000003</v>
      </c>
      <c r="K272" s="39">
        <f t="shared" si="11"/>
        <v>2108083.54</v>
      </c>
      <c r="L272" s="39">
        <f t="shared" si="11"/>
        <v>31246140.990000002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109464</v>
      </c>
      <c r="G315" s="18">
        <v>23761.1</v>
      </c>
      <c r="H315" s="18"/>
      <c r="I315" s="18">
        <f>14038.84-0.05</f>
        <v>14038.79</v>
      </c>
      <c r="J315" s="18"/>
      <c r="K315" s="18"/>
      <c r="L315" s="13">
        <f>SUM(F315:K315)</f>
        <v>147263.89000000001</v>
      </c>
      <c r="M315" s="8"/>
      <c r="N315" s="164"/>
    </row>
    <row r="316" spans="1:14" s="3" customFormat="1" ht="12.2" customHeight="1" x14ac:dyDescent="0.15">
      <c r="A316" s="1" t="s">
        <v>439</v>
      </c>
      <c r="B316" s="2" t="s">
        <v>359</v>
      </c>
      <c r="C316" s="2" t="s">
        <v>291</v>
      </c>
      <c r="D316" s="2" t="s">
        <v>431</v>
      </c>
      <c r="E316" s="6">
        <v>1200</v>
      </c>
      <c r="F316" s="18">
        <v>127061.64</v>
      </c>
      <c r="G316" s="18">
        <v>56015.58</v>
      </c>
      <c r="H316" s="18">
        <v>117087.36</v>
      </c>
      <c r="I316" s="18">
        <f>30821.74-1183.8</f>
        <v>29637.940000000002</v>
      </c>
      <c r="J316" s="18"/>
      <c r="K316" s="18">
        <v>6613</v>
      </c>
      <c r="L316" s="13">
        <f>SUM(F316:K316)</f>
        <v>336415.52</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32532.62</v>
      </c>
      <c r="G318" s="18">
        <v>8972.81</v>
      </c>
      <c r="H318" s="18"/>
      <c r="I318" s="18"/>
      <c r="J318" s="18"/>
      <c r="K318" s="18"/>
      <c r="L318" s="13">
        <f>SUM(F318:K318)</f>
        <v>41505.43</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f>4185+68912.65</f>
        <v>73097.649999999994</v>
      </c>
      <c r="G320" s="18">
        <f>1142.08+45212.92</f>
        <v>46355</v>
      </c>
      <c r="H320" s="18">
        <f>948+12000+5000</f>
        <v>17948</v>
      </c>
      <c r="I320" s="18">
        <v>90.56</v>
      </c>
      <c r="J320" s="18"/>
      <c r="K320" s="18"/>
      <c r="L320" s="13">
        <f t="shared" ref="L320:L326" si="16">SUM(F320:K320)</f>
        <v>137491.21</v>
      </c>
      <c r="M320" s="8"/>
      <c r="N320" s="164"/>
    </row>
    <row r="321" spans="1:14" s="3" customFormat="1" ht="12.2" customHeight="1" x14ac:dyDescent="0.15">
      <c r="A321" s="1" t="s">
        <v>443</v>
      </c>
      <c r="B321" s="2" t="s">
        <v>359</v>
      </c>
      <c r="C321" s="2" t="s">
        <v>295</v>
      </c>
      <c r="D321" s="2" t="s">
        <v>431</v>
      </c>
      <c r="E321" s="6">
        <v>2200</v>
      </c>
      <c r="F321" s="18">
        <v>17125.39</v>
      </c>
      <c r="G321" s="18">
        <v>4489.6899999999996</v>
      </c>
      <c r="H321" s="18">
        <v>40906.449999999997</v>
      </c>
      <c r="I321" s="18">
        <f>1601+15073.2+3126.6</f>
        <v>19800.8</v>
      </c>
      <c r="J321" s="18"/>
      <c r="K321" s="18"/>
      <c r="L321" s="13">
        <f t="shared" si="16"/>
        <v>82322.33</v>
      </c>
      <c r="M321" s="8"/>
      <c r="N321" s="164"/>
    </row>
    <row r="322" spans="1:14" s="3" customFormat="1" ht="12.2" customHeight="1" x14ac:dyDescent="0.15">
      <c r="A322" s="1" t="s">
        <v>444</v>
      </c>
      <c r="B322" s="2" t="s">
        <v>359</v>
      </c>
      <c r="C322" s="2" t="s">
        <v>296</v>
      </c>
      <c r="D322" s="2" t="s">
        <v>431</v>
      </c>
      <c r="E322" s="6">
        <v>2300</v>
      </c>
      <c r="F322" s="18">
        <v>54587.45</v>
      </c>
      <c r="G322" s="18">
        <v>26903.23</v>
      </c>
      <c r="H322" s="18">
        <v>12549.71</v>
      </c>
      <c r="I322" s="18">
        <v>866.95</v>
      </c>
      <c r="J322" s="18"/>
      <c r="K322" s="18">
        <v>28302.19</v>
      </c>
      <c r="L322" s="13">
        <f t="shared" si="16"/>
        <v>123209.52999999998</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v>417605</v>
      </c>
      <c r="I325" s="18"/>
      <c r="J325" s="18">
        <v>83275.06</v>
      </c>
      <c r="K325" s="18"/>
      <c r="L325" s="13">
        <f t="shared" si="16"/>
        <v>500880.06</v>
      </c>
      <c r="M325" s="8"/>
      <c r="N325" s="164"/>
    </row>
    <row r="326" spans="1:14" s="3" customFormat="1" ht="12.2" customHeight="1" x14ac:dyDescent="0.15">
      <c r="A326" s="1" t="s">
        <v>448</v>
      </c>
      <c r="B326" s="2" t="s">
        <v>359</v>
      </c>
      <c r="C326" s="2" t="s">
        <v>300</v>
      </c>
      <c r="D326" s="2" t="s">
        <v>431</v>
      </c>
      <c r="E326" s="6">
        <v>2700</v>
      </c>
      <c r="F326" s="18"/>
      <c r="G326" s="18"/>
      <c r="H326" s="18">
        <v>44367.34</v>
      </c>
      <c r="I326" s="18"/>
      <c r="J326" s="18"/>
      <c r="K326" s="18"/>
      <c r="L326" s="13">
        <f t="shared" si="16"/>
        <v>44367.34</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413868.75000000006</v>
      </c>
      <c r="G329" s="39">
        <f t="shared" si="17"/>
        <v>166497.41</v>
      </c>
      <c r="H329" s="39">
        <f t="shared" si="17"/>
        <v>650463.86</v>
      </c>
      <c r="I329" s="39">
        <f t="shared" si="17"/>
        <v>64435.039999999994</v>
      </c>
      <c r="J329" s="39">
        <f t="shared" si="17"/>
        <v>83275.06</v>
      </c>
      <c r="K329" s="39">
        <f t="shared" si="17"/>
        <v>34915.19</v>
      </c>
      <c r="L329" s="38">
        <f t="shared" si="17"/>
        <v>1413455.31</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v>14616.41</v>
      </c>
      <c r="G334" s="18">
        <v>2923.04</v>
      </c>
      <c r="H334" s="18"/>
      <c r="I334" s="18">
        <v>130.76</v>
      </c>
      <c r="J334" s="18"/>
      <c r="K334" s="18"/>
      <c r="L334" s="13">
        <f t="shared" si="18"/>
        <v>17670.21</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v>12358</v>
      </c>
      <c r="J336" s="18"/>
      <c r="K336" s="18"/>
      <c r="L336" s="13">
        <f t="shared" si="18"/>
        <v>12358</v>
      </c>
      <c r="M336" s="8"/>
      <c r="N336" s="164"/>
    </row>
    <row r="337" spans="1:43" s="3" customFormat="1" ht="12.2" customHeight="1" thickBot="1" x14ac:dyDescent="0.2">
      <c r="A337" s="1" t="s">
        <v>584</v>
      </c>
      <c r="B337" s="6">
        <v>14</v>
      </c>
      <c r="C337" s="6">
        <v>5</v>
      </c>
      <c r="D337" s="2" t="s">
        <v>431</v>
      </c>
      <c r="E337" s="6">
        <v>4000</v>
      </c>
      <c r="F337" s="18"/>
      <c r="G337" s="18"/>
      <c r="H337" s="18">
        <v>1050.04</v>
      </c>
      <c r="I337" s="18"/>
      <c r="J337" s="18"/>
      <c r="K337" s="18"/>
      <c r="L337" s="13">
        <f t="shared" si="18"/>
        <v>1050.04</v>
      </c>
      <c r="M337" s="8"/>
      <c r="N337" s="164"/>
    </row>
    <row r="338" spans="1:43" s="3" customFormat="1" ht="12.2" customHeight="1" thickTop="1" thickBot="1" x14ac:dyDescent="0.2">
      <c r="A338" s="46" t="s">
        <v>467</v>
      </c>
      <c r="B338" s="37">
        <v>14</v>
      </c>
      <c r="C338" s="47">
        <v>6</v>
      </c>
      <c r="D338" s="44" t="s">
        <v>431</v>
      </c>
      <c r="E338" s="47"/>
      <c r="F338" s="38">
        <f t="shared" ref="F338:K338" si="19">SUM(F333:F337)</f>
        <v>14616.41</v>
      </c>
      <c r="G338" s="38">
        <f t="shared" si="19"/>
        <v>2923.04</v>
      </c>
      <c r="H338" s="38">
        <f t="shared" si="19"/>
        <v>1050.04</v>
      </c>
      <c r="I338" s="38">
        <f t="shared" si="19"/>
        <v>12488.76</v>
      </c>
      <c r="J338" s="38">
        <f t="shared" si="19"/>
        <v>0</v>
      </c>
      <c r="K338" s="38">
        <f t="shared" si="19"/>
        <v>0</v>
      </c>
      <c r="L338" s="38">
        <f t="shared" si="18"/>
        <v>31078.25</v>
      </c>
      <c r="M338" s="8"/>
      <c r="N338" s="164"/>
    </row>
    <row r="339" spans="1:43" s="3" customFormat="1" ht="12.2" customHeight="1" thickTop="1" x14ac:dyDescent="0.15">
      <c r="A339" s="35" t="s">
        <v>468</v>
      </c>
      <c r="B339" s="37">
        <v>14</v>
      </c>
      <c r="C339" s="37">
        <v>7</v>
      </c>
      <c r="D339" s="36" t="s">
        <v>431</v>
      </c>
      <c r="E339" s="37"/>
      <c r="F339" s="38">
        <f t="shared" ref="F339:L339" si="20">F291+F310+F329+F338</f>
        <v>428485.16000000003</v>
      </c>
      <c r="G339" s="38">
        <f t="shared" si="20"/>
        <v>169420.45</v>
      </c>
      <c r="H339" s="38">
        <f t="shared" si="20"/>
        <v>651513.9</v>
      </c>
      <c r="I339" s="38">
        <f t="shared" si="20"/>
        <v>76923.799999999988</v>
      </c>
      <c r="J339" s="38">
        <f t="shared" si="20"/>
        <v>83275.06</v>
      </c>
      <c r="K339" s="38">
        <f t="shared" si="20"/>
        <v>34915.19</v>
      </c>
      <c r="L339" s="38">
        <f t="shared" si="20"/>
        <v>1444533.56</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428485.16000000003</v>
      </c>
      <c r="G353" s="38">
        <f>G339</f>
        <v>169420.45</v>
      </c>
      <c r="H353" s="38">
        <f>H339</f>
        <v>651513.9</v>
      </c>
      <c r="I353" s="38">
        <f>I339</f>
        <v>76923.799999999988</v>
      </c>
      <c r="J353" s="38">
        <f>J339</f>
        <v>83275.06</v>
      </c>
      <c r="K353" s="38">
        <f>K339+K352</f>
        <v>34915.19</v>
      </c>
      <c r="L353" s="38">
        <f>L339+L352</f>
        <v>1444533.56</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v>291264.18</v>
      </c>
      <c r="G361" s="18"/>
      <c r="H361" s="18">
        <v>16522.27</v>
      </c>
      <c r="I361" s="18">
        <v>311357.46000000002</v>
      </c>
      <c r="J361" s="18">
        <v>142068.20000000001</v>
      </c>
      <c r="K361" s="18">
        <v>2599.7399999999998</v>
      </c>
      <c r="L361" s="13">
        <f>SUM(F361:K361)</f>
        <v>763811.85000000009</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291264.18</v>
      </c>
      <c r="G363" s="38">
        <f t="shared" si="22"/>
        <v>0</v>
      </c>
      <c r="H363" s="38">
        <f t="shared" si="22"/>
        <v>16522.27</v>
      </c>
      <c r="I363" s="38">
        <f t="shared" si="22"/>
        <v>311357.46000000002</v>
      </c>
      <c r="J363" s="38">
        <f t="shared" si="22"/>
        <v>142068.20000000001</v>
      </c>
      <c r="K363" s="38">
        <f t="shared" si="22"/>
        <v>2599.7399999999998</v>
      </c>
      <c r="L363" s="38">
        <f t="shared" si="22"/>
        <v>763811.85000000009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f>262428.82+27483.18</f>
        <v>289912</v>
      </c>
      <c r="I368" s="13">
        <f>SUM(F368:H368)</f>
        <v>289912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v>21445.46</v>
      </c>
      <c r="I369" s="13">
        <f>SUM(F369:H369)</f>
        <v>21445.46</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311357.46000000002</v>
      </c>
      <c r="I370" s="38">
        <f>SUM(I368:I369)</f>
        <v>311357.46000000002</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v>21840.18</v>
      </c>
      <c r="I396" s="18"/>
      <c r="J396" s="23" t="s">
        <v>288</v>
      </c>
      <c r="K396" s="23" t="s">
        <v>288</v>
      </c>
      <c r="L396" s="13">
        <f t="shared" ref="L396:L401" si="26">SUM(F396:K396)</f>
        <v>21840.18</v>
      </c>
      <c r="M396" s="8"/>
      <c r="N396" s="164"/>
    </row>
    <row r="397" spans="1:14" s="3" customFormat="1" ht="12.2" customHeight="1" x14ac:dyDescent="0.15">
      <c r="A397" s="62" t="s">
        <v>557</v>
      </c>
      <c r="B397" s="2" t="s">
        <v>381</v>
      </c>
      <c r="C397" s="6">
        <v>9</v>
      </c>
      <c r="D397" s="2" t="s">
        <v>432</v>
      </c>
      <c r="E397" s="6"/>
      <c r="F397" s="18"/>
      <c r="G397" s="18"/>
      <c r="H397" s="18">
        <v>15232.62</v>
      </c>
      <c r="I397" s="18"/>
      <c r="J397" s="23" t="s">
        <v>288</v>
      </c>
      <c r="K397" s="23" t="s">
        <v>288</v>
      </c>
      <c r="L397" s="13">
        <f t="shared" si="26"/>
        <v>15232.62</v>
      </c>
      <c r="M397" s="8"/>
      <c r="N397" s="164"/>
    </row>
    <row r="398" spans="1:14" s="3" customFormat="1" ht="12.2" customHeight="1" x14ac:dyDescent="0.15">
      <c r="A398" s="62" t="s">
        <v>515</v>
      </c>
      <c r="B398" s="2" t="s">
        <v>381</v>
      </c>
      <c r="C398" s="6">
        <v>10</v>
      </c>
      <c r="D398" s="2" t="s">
        <v>432</v>
      </c>
      <c r="E398" s="6"/>
      <c r="F398" s="18"/>
      <c r="G398" s="18"/>
      <c r="H398" s="18">
        <f>30915.16-0.38</f>
        <v>30914.78</v>
      </c>
      <c r="I398" s="18"/>
      <c r="J398" s="23" t="s">
        <v>288</v>
      </c>
      <c r="K398" s="23" t="s">
        <v>288</v>
      </c>
      <c r="L398" s="13">
        <f t="shared" si="26"/>
        <v>30914.78</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67987.58</v>
      </c>
      <c r="I402" s="38">
        <f>SUM(I396:I401)</f>
        <v>0</v>
      </c>
      <c r="J402" s="42" t="s">
        <v>288</v>
      </c>
      <c r="K402" s="42" t="s">
        <v>288</v>
      </c>
      <c r="L402" s="38">
        <f>SUM(L396:L401)</f>
        <v>67987.58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67987.58</v>
      </c>
      <c r="I409" s="38">
        <f>I394+I402+I408</f>
        <v>0</v>
      </c>
      <c r="J409" s="23" t="s">
        <v>288</v>
      </c>
      <c r="K409" s="23" t="s">
        <v>288</v>
      </c>
      <c r="L409" s="38">
        <f>L394+L402+L408</f>
        <v>67987.58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v>113384</v>
      </c>
      <c r="I424" s="18"/>
      <c r="J424" s="18"/>
      <c r="K424" s="18"/>
      <c r="L424" s="13">
        <f t="shared" si="29"/>
        <v>113384</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113384</v>
      </c>
      <c r="I428" s="38">
        <f t="shared" si="30"/>
        <v>0</v>
      </c>
      <c r="J428" s="38">
        <f t="shared" si="30"/>
        <v>0</v>
      </c>
      <c r="K428" s="38">
        <f t="shared" si="30"/>
        <v>0</v>
      </c>
      <c r="L428" s="38">
        <f t="shared" si="30"/>
        <v>113384</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113384</v>
      </c>
      <c r="I435" s="38">
        <f t="shared" si="32"/>
        <v>0</v>
      </c>
      <c r="J435" s="38">
        <f t="shared" si="32"/>
        <v>0</v>
      </c>
      <c r="K435" s="38">
        <f t="shared" si="32"/>
        <v>0</v>
      </c>
      <c r="L435" s="38">
        <f t="shared" si="32"/>
        <v>113384</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872998.56</v>
      </c>
      <c r="H441" s="18"/>
      <c r="I441" s="13">
        <f t="shared" si="33"/>
        <v>872998.56</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872998.56</v>
      </c>
      <c r="H447" s="13">
        <f>SUM(H440:H446)</f>
        <v>0</v>
      </c>
      <c r="I447" s="13">
        <f>SUM(I440:I446)</f>
        <v>872998.56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872998.56</v>
      </c>
      <c r="H460" s="18"/>
      <c r="I460" s="13">
        <f t="shared" si="34"/>
        <v>872998.56</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872998.56</v>
      </c>
      <c r="H461" s="65">
        <f>SUM(H455:H460)</f>
        <v>0</v>
      </c>
      <c r="I461" s="65">
        <f>SUM(I455:I460)</f>
        <v>872998.56</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872998.56</v>
      </c>
      <c r="H462" s="39">
        <f>H453+H461</f>
        <v>0</v>
      </c>
      <c r="I462" s="39">
        <f>I453+I461</f>
        <v>872998.56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1196167.03</v>
      </c>
      <c r="G466" s="18">
        <v>216715.08</v>
      </c>
      <c r="H466" s="18">
        <v>0</v>
      </c>
      <c r="I466" s="18"/>
      <c r="J466" s="18">
        <v>918394.98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30390007.41</v>
      </c>
      <c r="G469" s="18">
        <f>645839.15+5</f>
        <v>645844.15</v>
      </c>
      <c r="H469" s="18">
        <v>1444533.56</v>
      </c>
      <c r="I469" s="18"/>
      <c r="J469" s="18">
        <f>67987.96-0.38</f>
        <v>67987.58</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30390007.41</v>
      </c>
      <c r="G471" s="19">
        <f>SUM(G469:G470)</f>
        <v>645844.15</v>
      </c>
      <c r="H471" s="19">
        <f>SUM(H469:H470)</f>
        <v>1444533.56</v>
      </c>
      <c r="I471" s="19">
        <f>SUM(I469:I470)</f>
        <v>0</v>
      </c>
      <c r="J471" s="19">
        <f>SUM(J469:J470)</f>
        <v>67987.58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465433.36+30780707.63</f>
        <v>31246140.989999998</v>
      </c>
      <c r="G473" s="18">
        <v>763811.85</v>
      </c>
      <c r="H473" s="18">
        <v>1444533.56</v>
      </c>
      <c r="I473" s="18"/>
      <c r="J473" s="18">
        <v>113384</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31246140.989999998</v>
      </c>
      <c r="G475" s="19">
        <f>SUM(G473:G474)</f>
        <v>763811.85</v>
      </c>
      <c r="H475" s="19">
        <f>SUM(H473:H474)</f>
        <v>1444533.56</v>
      </c>
      <c r="I475" s="19">
        <f>SUM(I473:I474)</f>
        <v>0</v>
      </c>
      <c r="J475" s="19">
        <f>SUM(J473:J474)</f>
        <v>113384</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340033.45000000298</v>
      </c>
      <c r="G477" s="19">
        <f>(G466+G471)- G475</f>
        <v>98747.38</v>
      </c>
      <c r="H477" s="19">
        <f>(H466+H471)- H475</f>
        <v>0</v>
      </c>
      <c r="I477" s="19">
        <f>(I466+I471)- I475</f>
        <v>0</v>
      </c>
      <c r="J477" s="19">
        <f>(J466+J471)- J475</f>
        <v>872998.55999999994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25484800</v>
      </c>
      <c r="G494" s="18"/>
      <c r="H494" s="18"/>
      <c r="I494" s="18"/>
      <c r="J494" s="18"/>
      <c r="K494" s="23" t="s">
        <v>288</v>
      </c>
      <c r="L494" s="23" t="s">
        <v>288</v>
      </c>
      <c r="N494" s="130"/>
    </row>
    <row r="495" spans="1:14" ht="12.2" customHeight="1" x14ac:dyDescent="0.2">
      <c r="A495" s="21" t="s">
        <v>618</v>
      </c>
      <c r="B495" s="22">
        <v>20</v>
      </c>
      <c r="C495" s="22">
        <v>5</v>
      </c>
      <c r="D495" s="2" t="s">
        <v>432</v>
      </c>
      <c r="E495" s="22"/>
      <c r="F495" s="18">
        <v>4.54</v>
      </c>
      <c r="G495" s="18"/>
      <c r="H495" s="18"/>
      <c r="I495" s="18"/>
      <c r="J495" s="18"/>
      <c r="K495" s="23" t="s">
        <v>288</v>
      </c>
      <c r="L495" s="23" t="s">
        <v>288</v>
      </c>
      <c r="N495" s="130"/>
    </row>
    <row r="496" spans="1:14" ht="12.2" customHeight="1" x14ac:dyDescent="0.2">
      <c r="A496" s="21" t="s">
        <v>619</v>
      </c>
      <c r="B496" s="22">
        <v>20</v>
      </c>
      <c r="C496" s="22">
        <v>6</v>
      </c>
      <c r="D496" s="2" t="s">
        <v>432</v>
      </c>
      <c r="E496" s="22"/>
      <c r="F496" s="18">
        <v>1865000</v>
      </c>
      <c r="G496" s="18"/>
      <c r="H496" s="18"/>
      <c r="I496" s="18"/>
      <c r="J496" s="18"/>
      <c r="K496" s="19">
        <f>SUM(F496:J496)</f>
        <v>1865000</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1971439</v>
      </c>
      <c r="G498" s="18"/>
      <c r="H498" s="18"/>
      <c r="I498" s="18"/>
      <c r="J498" s="18"/>
      <c r="K498" s="19">
        <f t="shared" si="35"/>
        <v>1971439</v>
      </c>
      <c r="L498" s="23" t="s">
        <v>288</v>
      </c>
      <c r="N498" s="130"/>
    </row>
    <row r="499" spans="1:14" ht="12.2" customHeight="1" x14ac:dyDescent="0.2">
      <c r="A499" s="143" t="s">
        <v>622</v>
      </c>
      <c r="B499" s="144">
        <v>20</v>
      </c>
      <c r="C499" s="144">
        <v>9</v>
      </c>
      <c r="D499" s="145" t="s">
        <v>432</v>
      </c>
      <c r="E499" s="144"/>
      <c r="F499" s="146">
        <v>1960000</v>
      </c>
      <c r="G499" s="146"/>
      <c r="H499" s="146"/>
      <c r="I499" s="146"/>
      <c r="J499" s="146"/>
      <c r="K499" s="147">
        <f t="shared" si="35"/>
        <v>1960000</v>
      </c>
      <c r="L499" s="148" t="s">
        <v>288</v>
      </c>
      <c r="N499" s="130"/>
    </row>
    <row r="500" spans="1:14" ht="12.2" customHeight="1" thickBot="1" x14ac:dyDescent="0.25">
      <c r="A500" s="21" t="s">
        <v>623</v>
      </c>
      <c r="B500" s="22">
        <v>20</v>
      </c>
      <c r="C500" s="22">
        <v>10</v>
      </c>
      <c r="D500" s="2" t="s">
        <v>432</v>
      </c>
      <c r="E500" s="22"/>
      <c r="F500" s="18">
        <f>49000-30813</f>
        <v>18187</v>
      </c>
      <c r="G500" s="18"/>
      <c r="H500" s="18"/>
      <c r="I500" s="18"/>
      <c r="J500" s="18"/>
      <c r="K500" s="19">
        <f t="shared" si="35"/>
        <v>18187</v>
      </c>
      <c r="L500" s="23" t="s">
        <v>288</v>
      </c>
      <c r="N500" s="130"/>
    </row>
    <row r="501" spans="1:14" ht="12.2" customHeight="1" thickTop="1" x14ac:dyDescent="0.2">
      <c r="A501" s="97" t="s">
        <v>624</v>
      </c>
      <c r="B501" s="41">
        <v>20</v>
      </c>
      <c r="C501" s="41">
        <v>11</v>
      </c>
      <c r="D501" s="36" t="s">
        <v>432</v>
      </c>
      <c r="E501" s="41"/>
      <c r="F501" s="39">
        <f>SUM(F499:F500)</f>
        <v>1978187</v>
      </c>
      <c r="G501" s="39">
        <f>SUM(G499:G500)</f>
        <v>0</v>
      </c>
      <c r="H501" s="39">
        <f>SUM(H499:H500)</f>
        <v>0</v>
      </c>
      <c r="I501" s="39">
        <f>SUM(I499:I500)</f>
        <v>0</v>
      </c>
      <c r="J501" s="39">
        <f>SUM(J499:J500)</f>
        <v>0</v>
      </c>
      <c r="K501" s="39">
        <f t="shared" si="35"/>
        <v>1978187</v>
      </c>
      <c r="L501" s="42" t="s">
        <v>288</v>
      </c>
      <c r="N501" s="130"/>
    </row>
    <row r="502" spans="1:14" ht="12.2" customHeight="1" x14ac:dyDescent="0.2">
      <c r="A502" s="143" t="s">
        <v>651</v>
      </c>
      <c r="B502" s="144">
        <v>20</v>
      </c>
      <c r="C502" s="144">
        <v>12</v>
      </c>
      <c r="D502" s="145" t="s">
        <v>432</v>
      </c>
      <c r="E502" s="144"/>
      <c r="F502" s="146">
        <v>1960000</v>
      </c>
      <c r="G502" s="146"/>
      <c r="H502" s="146"/>
      <c r="I502" s="146"/>
      <c r="J502" s="146"/>
      <c r="K502" s="147">
        <f t="shared" si="35"/>
        <v>1960000</v>
      </c>
      <c r="L502" s="148" t="s">
        <v>288</v>
      </c>
      <c r="N502" s="130"/>
    </row>
    <row r="503" spans="1:14" ht="12.2" customHeight="1" thickBot="1" x14ac:dyDescent="0.25">
      <c r="A503" s="21" t="s">
        <v>625</v>
      </c>
      <c r="B503" s="22">
        <v>20</v>
      </c>
      <c r="C503" s="22">
        <v>13</v>
      </c>
      <c r="D503" s="2" t="s">
        <v>432</v>
      </c>
      <c r="E503" s="22"/>
      <c r="F503" s="18">
        <f>49000-30813</f>
        <v>18187</v>
      </c>
      <c r="G503" s="18"/>
      <c r="H503" s="18"/>
      <c r="I503" s="18"/>
      <c r="J503" s="18"/>
      <c r="K503" s="19">
        <f t="shared" si="35"/>
        <v>18187</v>
      </c>
      <c r="L503" s="23" t="s">
        <v>288</v>
      </c>
      <c r="N503" s="130"/>
    </row>
    <row r="504" spans="1:14" ht="12.2" customHeight="1" thickTop="1" x14ac:dyDescent="0.2">
      <c r="A504" s="97" t="s">
        <v>626</v>
      </c>
      <c r="B504" s="41">
        <v>20</v>
      </c>
      <c r="C504" s="41">
        <v>14</v>
      </c>
      <c r="D504" s="36" t="s">
        <v>432</v>
      </c>
      <c r="E504" s="41"/>
      <c r="F504" s="39">
        <f>SUM(F502:F503)</f>
        <v>1978187</v>
      </c>
      <c r="G504" s="39">
        <f>SUM(G502:G503)</f>
        <v>0</v>
      </c>
      <c r="H504" s="39">
        <f>SUM(H502:H503)</f>
        <v>0</v>
      </c>
      <c r="I504" s="39">
        <f>SUM(I502:I503)</f>
        <v>0</v>
      </c>
      <c r="J504" s="39">
        <f>SUM(J502:J503)</f>
        <v>0</v>
      </c>
      <c r="K504" s="39">
        <f t="shared" si="35"/>
        <v>1978187</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c r="I522" s="18"/>
      <c r="J522" s="18"/>
      <c r="K522" s="18"/>
      <c r="L522" s="69">
        <f>SUM(F522:K522)</f>
        <v>0</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f>1196682.7+380405.45+1939.61+389.5+91931+4420.44+11546.47</f>
        <v>1687315.17</v>
      </c>
      <c r="G524" s="18">
        <f>572004.86+166250.49+26958.12+1090.08+18055.23+674.59+367.97+7443.36</f>
        <v>792844.69999999984</v>
      </c>
      <c r="H524" s="18">
        <f>1787762.76-H539+117087.36+948</f>
        <v>1889899.56</v>
      </c>
      <c r="I524" s="18">
        <f>2508.85+30821.74-1183.8</f>
        <v>32146.790000000005</v>
      </c>
      <c r="J524" s="18">
        <v>961.46</v>
      </c>
      <c r="K524" s="18">
        <v>6613</v>
      </c>
      <c r="L524" s="69">
        <f>SUM(F524:K524)</f>
        <v>4409780.68</v>
      </c>
      <c r="N524" s="130"/>
    </row>
    <row r="525" spans="1:14" ht="12.2" customHeight="1" thickTop="1" x14ac:dyDescent="0.2">
      <c r="A525" s="97" t="s">
        <v>63</v>
      </c>
      <c r="B525" s="41">
        <v>21</v>
      </c>
      <c r="C525" s="41">
        <v>4</v>
      </c>
      <c r="D525" s="115" t="s">
        <v>432</v>
      </c>
      <c r="E525" s="41"/>
      <c r="F525" s="81">
        <f>SUM(F522:F524)</f>
        <v>1687315.17</v>
      </c>
      <c r="G525" s="81">
        <f t="shared" ref="G525:L525" si="36">SUM(G522:G524)</f>
        <v>792844.69999999984</v>
      </c>
      <c r="H525" s="81">
        <f t="shared" si="36"/>
        <v>1889899.56</v>
      </c>
      <c r="I525" s="81">
        <f t="shared" si="36"/>
        <v>32146.790000000005</v>
      </c>
      <c r="J525" s="81">
        <f t="shared" si="36"/>
        <v>961.46</v>
      </c>
      <c r="K525" s="81">
        <f t="shared" si="36"/>
        <v>6613</v>
      </c>
      <c r="L525" s="70">
        <f t="shared" si="36"/>
        <v>4409780.68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f>400606.71+38618.55</f>
        <v>439225.26</v>
      </c>
      <c r="G529" s="18">
        <f>220131.21+8538.56</f>
        <v>228669.77</v>
      </c>
      <c r="H529" s="18"/>
      <c r="I529" s="18"/>
      <c r="J529" s="18"/>
      <c r="K529" s="18"/>
      <c r="L529" s="69">
        <f>SUM(F529:K529)</f>
        <v>667895.03</v>
      </c>
      <c r="M529" s="8"/>
      <c r="N529" s="164"/>
    </row>
    <row r="530" spans="1:14" s="3" customFormat="1" ht="12.2" customHeight="1" thickTop="1" x14ac:dyDescent="0.15">
      <c r="A530" s="97" t="s">
        <v>65</v>
      </c>
      <c r="B530" s="41">
        <v>21</v>
      </c>
      <c r="C530" s="41">
        <v>8</v>
      </c>
      <c r="D530" s="115" t="s">
        <v>432</v>
      </c>
      <c r="E530" s="41"/>
      <c r="F530" s="70">
        <f>SUM(F527:F529)</f>
        <v>439225.26</v>
      </c>
      <c r="G530" s="70">
        <f t="shared" ref="G530:L530" si="37">SUM(G527:G529)</f>
        <v>228669.77</v>
      </c>
      <c r="H530" s="70">
        <f t="shared" si="37"/>
        <v>0</v>
      </c>
      <c r="I530" s="70">
        <f t="shared" si="37"/>
        <v>0</v>
      </c>
      <c r="J530" s="70">
        <f t="shared" si="37"/>
        <v>0</v>
      </c>
      <c r="K530" s="70">
        <f t="shared" si="37"/>
        <v>0</v>
      </c>
      <c r="L530" s="70">
        <f t="shared" si="37"/>
        <v>667895.03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f>127992+58954.25+18774.23</f>
        <v>205720.48</v>
      </c>
      <c r="G534" s="18">
        <f>57901.34+26149.78+1426.33</f>
        <v>85477.45</v>
      </c>
      <c r="H534" s="18"/>
      <c r="I534" s="18"/>
      <c r="J534" s="18"/>
      <c r="K534" s="18">
        <v>1030</v>
      </c>
      <c r="L534" s="69">
        <f>SUM(F534:K534)</f>
        <v>292227.93</v>
      </c>
      <c r="M534" s="8"/>
      <c r="N534" s="164"/>
    </row>
    <row r="535" spans="1:14" s="3" customFormat="1" ht="12.2" customHeight="1" thickTop="1" x14ac:dyDescent="0.15">
      <c r="A535" s="97" t="s">
        <v>67</v>
      </c>
      <c r="B535" s="41">
        <v>21</v>
      </c>
      <c r="C535" s="41">
        <v>12</v>
      </c>
      <c r="D535" s="115" t="s">
        <v>432</v>
      </c>
      <c r="E535" s="41"/>
      <c r="F535" s="70">
        <f>SUM(F532:F534)</f>
        <v>205720.48</v>
      </c>
      <c r="G535" s="70">
        <f t="shared" ref="G535:L535" si="38">SUM(G532:G534)</f>
        <v>85477.45</v>
      </c>
      <c r="H535" s="70">
        <f t="shared" si="38"/>
        <v>0</v>
      </c>
      <c r="I535" s="70">
        <f t="shared" si="38"/>
        <v>0</v>
      </c>
      <c r="J535" s="70">
        <f t="shared" si="38"/>
        <v>0</v>
      </c>
      <c r="K535" s="70">
        <f t="shared" si="38"/>
        <v>1030</v>
      </c>
      <c r="L535" s="70">
        <f t="shared" si="38"/>
        <v>292227.93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v>15898.56</v>
      </c>
      <c r="I539" s="18"/>
      <c r="J539" s="18"/>
      <c r="K539" s="18"/>
      <c r="L539" s="69">
        <f>SUM(F539:K539)</f>
        <v>15898.56</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15898.56</v>
      </c>
      <c r="I540" s="70">
        <f t="shared" si="39"/>
        <v>0</v>
      </c>
      <c r="J540" s="70">
        <f t="shared" si="39"/>
        <v>0</v>
      </c>
      <c r="K540" s="70">
        <f t="shared" si="39"/>
        <v>0</v>
      </c>
      <c r="L540" s="70">
        <f t="shared" si="39"/>
        <v>15898.56</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579243.96</v>
      </c>
      <c r="I544" s="18"/>
      <c r="J544" s="18"/>
      <c r="K544" s="18"/>
      <c r="L544" s="69">
        <f>SUM(F544:K544)</f>
        <v>579243.96</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579243.96</v>
      </c>
      <c r="I545" s="140">
        <f t="shared" si="40"/>
        <v>0</v>
      </c>
      <c r="J545" s="140">
        <f t="shared" si="40"/>
        <v>0</v>
      </c>
      <c r="K545" s="140">
        <f t="shared" si="40"/>
        <v>0</v>
      </c>
      <c r="L545" s="140">
        <f t="shared" si="40"/>
        <v>579243.96</v>
      </c>
      <c r="M545" s="8"/>
      <c r="N545" s="164"/>
    </row>
    <row r="546" spans="1:14" s="3" customFormat="1" ht="12.2" customHeight="1" thickTop="1" x14ac:dyDescent="0.15">
      <c r="A546" s="75" t="s">
        <v>72</v>
      </c>
      <c r="B546" s="41">
        <v>21</v>
      </c>
      <c r="C546" s="41">
        <v>21</v>
      </c>
      <c r="D546" s="115" t="s">
        <v>432</v>
      </c>
      <c r="E546" s="41"/>
      <c r="F546" s="70">
        <f>F525+F530+F535+F540+F545</f>
        <v>2332260.9099999997</v>
      </c>
      <c r="G546" s="70">
        <f t="shared" ref="G546:L546" si="41">G525+G530+G535+G540+G545</f>
        <v>1106991.92</v>
      </c>
      <c r="H546" s="70">
        <f t="shared" si="41"/>
        <v>2485042.08</v>
      </c>
      <c r="I546" s="70">
        <f t="shared" si="41"/>
        <v>32146.790000000005</v>
      </c>
      <c r="J546" s="70">
        <f t="shared" si="41"/>
        <v>961.46</v>
      </c>
      <c r="K546" s="70">
        <f t="shared" si="41"/>
        <v>7643</v>
      </c>
      <c r="L546" s="70">
        <f t="shared" si="41"/>
        <v>5965046.1599999992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4409780.68</v>
      </c>
      <c r="G552" s="69">
        <f>L529</f>
        <v>667895.03</v>
      </c>
      <c r="H552" s="69">
        <f>L534</f>
        <v>292227.93</v>
      </c>
      <c r="I552" s="69">
        <f>L539</f>
        <v>15898.56</v>
      </c>
      <c r="J552" s="69">
        <f>L544</f>
        <v>579243.96</v>
      </c>
      <c r="K552" s="69">
        <f>SUM(F552:J552)</f>
        <v>5965046.1599999992</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4409780.68</v>
      </c>
      <c r="G553" s="70">
        <f t="shared" si="42"/>
        <v>667895.03</v>
      </c>
      <c r="H553" s="70">
        <f t="shared" si="42"/>
        <v>292227.93</v>
      </c>
      <c r="I553" s="70">
        <f t="shared" si="42"/>
        <v>15898.56</v>
      </c>
      <c r="J553" s="70">
        <f t="shared" si="42"/>
        <v>579243.96</v>
      </c>
      <c r="K553" s="70">
        <f t="shared" si="42"/>
        <v>5965046.1599999992</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v>48925</v>
      </c>
      <c r="I580" s="69">
        <f t="shared" si="47"/>
        <v>48925</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1296174.93</v>
      </c>
      <c r="I583" s="69">
        <f t="shared" si="47"/>
        <v>1296174.93</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v>275903.07</v>
      </c>
      <c r="I584" s="69">
        <f t="shared" si="47"/>
        <v>275903.07</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308233.96000000002</v>
      </c>
      <c r="I585" s="69">
        <f t="shared" si="47"/>
        <v>308233.96000000002</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1929236.96</v>
      </c>
      <c r="I589" s="79">
        <f t="shared" si="48"/>
        <v>1929236.96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c r="I592" s="18"/>
      <c r="J592" s="18">
        <f>676505.7-J594</f>
        <v>608855.13</v>
      </c>
      <c r="K592" s="80">
        <f t="shared" ref="K592:K598" si="49">SUM(H592:J592)</f>
        <v>608855.13</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v>579243.96</v>
      </c>
      <c r="K593" s="80">
        <f t="shared" si="49"/>
        <v>579243.96</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f>676505.7*10%</f>
        <v>67650.569999999992</v>
      </c>
      <c r="K594" s="80">
        <f t="shared" si="49"/>
        <v>67650.569999999992</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v>136440.9</v>
      </c>
      <c r="K595" s="80">
        <f t="shared" si="49"/>
        <v>136440.9</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v>12381.21</v>
      </c>
      <c r="K596" s="80">
        <f t="shared" si="49"/>
        <v>12381.21</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v>78105.78</v>
      </c>
      <c r="K598" s="80">
        <f t="shared" si="49"/>
        <v>78105.78</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0</v>
      </c>
      <c r="J599" s="81">
        <f>SUM(J592:J598)</f>
        <v>1482677.5499999998</v>
      </c>
      <c r="K599" s="81">
        <f>SUM(K592:K598)</f>
        <v>1482677.5499999998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f>34100+29408.06+41721.7</f>
        <v>105229.75999999999</v>
      </c>
      <c r="K604" s="80">
        <f>SUM(H604:J604)</f>
        <v>105229.75999999999</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f>19767+307748.21</f>
        <v>327515.21000000002</v>
      </c>
      <c r="K605" s="80">
        <f>SUM(H605:J605)</f>
        <v>327515.21000000002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432744.97000000003</v>
      </c>
      <c r="K606" s="81">
        <f>SUM(K603:K605)</f>
        <v>432744.97000000003</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v>65136.160000000003</v>
      </c>
      <c r="G614" s="18"/>
      <c r="H614" s="18"/>
      <c r="I614" s="18">
        <v>13709.9</v>
      </c>
      <c r="J614" s="18"/>
      <c r="K614" s="18"/>
      <c r="L614" s="69">
        <f>SUM(F614:K614)</f>
        <v>78846.06</v>
      </c>
      <c r="M614" s="8"/>
      <c r="N614" s="164"/>
    </row>
    <row r="615" spans="1:14" s="3" customFormat="1" ht="12.2" customHeight="1" thickTop="1" x14ac:dyDescent="0.15">
      <c r="A615" s="75" t="s">
        <v>340</v>
      </c>
      <c r="B615" s="41">
        <v>23</v>
      </c>
      <c r="C615" s="41">
        <v>16</v>
      </c>
      <c r="D615" s="36" t="s">
        <v>432</v>
      </c>
      <c r="E615" s="41"/>
      <c r="F615" s="81">
        <f t="shared" ref="F615:L615" si="50">SUM(F612:F614)</f>
        <v>65136.160000000003</v>
      </c>
      <c r="G615" s="81">
        <f t="shared" si="50"/>
        <v>0</v>
      </c>
      <c r="H615" s="81">
        <f t="shared" si="50"/>
        <v>0</v>
      </c>
      <c r="I615" s="81">
        <f t="shared" si="50"/>
        <v>13709.9</v>
      </c>
      <c r="J615" s="81">
        <f t="shared" si="50"/>
        <v>0</v>
      </c>
      <c r="K615" s="81">
        <f t="shared" si="50"/>
        <v>0</v>
      </c>
      <c r="L615" s="70">
        <f t="shared" si="50"/>
        <v>78846.06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559207.79</v>
      </c>
      <c r="H618" s="80">
        <f>SUM(F52)</f>
        <v>559207.79299999995</v>
      </c>
      <c r="I618" s="87" t="s">
        <v>871</v>
      </c>
      <c r="J618" s="80">
        <f>G618-H618</f>
        <v>-2.9999999096617103E-3</v>
      </c>
      <c r="K618" s="80"/>
      <c r="L618" s="80"/>
      <c r="M618" s="8"/>
    </row>
    <row r="619" spans="1:14" s="3" customFormat="1" ht="12.2" customHeight="1" x14ac:dyDescent="0.15">
      <c r="A619" s="74" t="s">
        <v>100</v>
      </c>
      <c r="B619" s="22"/>
      <c r="C619" s="22"/>
      <c r="D619" s="22"/>
      <c r="E619" s="22"/>
      <c r="F619" s="87" t="s">
        <v>684</v>
      </c>
      <c r="G619" s="80">
        <f>SUM(G19)</f>
        <v>117328.99</v>
      </c>
      <c r="H619" s="80">
        <f>SUM(G52)</f>
        <v>117328.99</v>
      </c>
      <c r="I619" s="87" t="s">
        <v>872</v>
      </c>
      <c r="J619" s="80">
        <f>G619-H619</f>
        <v>0</v>
      </c>
      <c r="K619" s="80"/>
      <c r="L619" s="80"/>
      <c r="M619" s="8"/>
    </row>
    <row r="620" spans="1:14" s="3" customFormat="1" ht="12.2" customHeight="1" x14ac:dyDescent="0.15">
      <c r="A620" s="74"/>
      <c r="B620" s="22"/>
      <c r="C620" s="22"/>
      <c r="D620" s="22"/>
      <c r="E620" s="22"/>
      <c r="F620" s="87" t="s">
        <v>685</v>
      </c>
      <c r="G620" s="80">
        <f>SUM(H19)</f>
        <v>175194.59</v>
      </c>
      <c r="H620" s="80">
        <f>SUM(H52)</f>
        <v>175194.59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872998.56</v>
      </c>
      <c r="H622" s="80">
        <f>SUM(J52)</f>
        <v>872998.56</v>
      </c>
      <c r="I622" s="87" t="s">
        <v>875</v>
      </c>
      <c r="J622" s="80">
        <f>G622-H622</f>
        <v>0</v>
      </c>
      <c r="K622" s="80"/>
      <c r="L622" s="80"/>
      <c r="M622" s="8"/>
    </row>
    <row r="623" spans="1:14" s="3" customFormat="1" ht="12.2" customHeight="1" x14ac:dyDescent="0.15">
      <c r="A623" s="74"/>
      <c r="B623" s="22"/>
      <c r="C623" s="22"/>
      <c r="D623" s="22"/>
      <c r="E623" s="22"/>
      <c r="F623" s="87" t="s">
        <v>861</v>
      </c>
      <c r="G623" s="80">
        <f>F51</f>
        <v>340033.45299999998</v>
      </c>
      <c r="H623" s="80">
        <f>F477</f>
        <v>340033.45000000298</v>
      </c>
      <c r="I623" s="87" t="s">
        <v>101</v>
      </c>
      <c r="J623" s="80">
        <f t="shared" ref="J623:J656" si="51">G623-H623</f>
        <v>2.9999969992786646E-3</v>
      </c>
      <c r="K623" s="80"/>
      <c r="L623" s="80"/>
      <c r="M623" s="8"/>
    </row>
    <row r="624" spans="1:14" s="3" customFormat="1" ht="12.2" customHeight="1" x14ac:dyDescent="0.15">
      <c r="A624" s="74"/>
      <c r="B624" s="22"/>
      <c r="C624" s="85"/>
      <c r="D624" s="85"/>
      <c r="E624" s="85"/>
      <c r="F624" s="85" t="s">
        <v>862</v>
      </c>
      <c r="G624" s="80">
        <f>G51</f>
        <v>98747.38</v>
      </c>
      <c r="H624" s="80">
        <f>G477</f>
        <v>98747.38</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872998.56</v>
      </c>
      <c r="H627" s="80">
        <f>J477</f>
        <v>872998.55999999994</v>
      </c>
      <c r="I627" s="87" t="s">
        <v>105</v>
      </c>
      <c r="J627" s="80">
        <f t="shared" si="51"/>
        <v>0</v>
      </c>
      <c r="K627" s="67"/>
      <c r="L627" s="69"/>
      <c r="M627" s="8"/>
    </row>
    <row r="628" spans="1:13" s="3" customFormat="1" ht="12.2" customHeight="1" x14ac:dyDescent="0.15">
      <c r="A628" s="21"/>
      <c r="B628" s="22"/>
      <c r="C628" s="22"/>
      <c r="D628" s="22"/>
      <c r="E628" s="22"/>
      <c r="F628" s="86" t="s">
        <v>658</v>
      </c>
      <c r="G628" s="80">
        <f>F194</f>
        <v>30390007.409999996</v>
      </c>
      <c r="H628" s="80">
        <f>SUM(F469)</f>
        <v>30390007.41</v>
      </c>
      <c r="I628" s="87" t="s">
        <v>106</v>
      </c>
      <c r="J628" s="80">
        <f>G628-H628</f>
        <v>0</v>
      </c>
      <c r="K628" s="67"/>
      <c r="L628" s="69"/>
      <c r="M628" s="8"/>
    </row>
    <row r="629" spans="1:13" s="3" customFormat="1" ht="12.2" customHeight="1" x14ac:dyDescent="0.15">
      <c r="A629" s="21"/>
      <c r="B629" s="22"/>
      <c r="C629" s="22"/>
      <c r="D629" s="22"/>
      <c r="E629" s="22"/>
      <c r="F629" s="86" t="s">
        <v>659</v>
      </c>
      <c r="G629" s="80">
        <f>G194</f>
        <v>645844.15</v>
      </c>
      <c r="H629" s="80">
        <f>SUM(G469)</f>
        <v>645844.15</v>
      </c>
      <c r="I629" s="87" t="s">
        <v>107</v>
      </c>
      <c r="J629" s="80">
        <f>G629-H629</f>
        <v>0</v>
      </c>
      <c r="K629" s="67"/>
      <c r="L629" s="69"/>
      <c r="M629" s="8"/>
    </row>
    <row r="630" spans="1:13" s="3" customFormat="1" ht="12.2" customHeight="1" x14ac:dyDescent="0.15">
      <c r="A630" s="21"/>
      <c r="B630" s="22"/>
      <c r="C630" s="22"/>
      <c r="D630" s="22"/>
      <c r="E630" s="22"/>
      <c r="F630" s="86" t="s">
        <v>660</v>
      </c>
      <c r="G630" s="80">
        <f>H194</f>
        <v>1444533.56</v>
      </c>
      <c r="H630" s="80">
        <f>SUM(H469)</f>
        <v>1444533.56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67987.58</v>
      </c>
      <c r="H632" s="80">
        <f>SUM(J469)</f>
        <v>67987.58</v>
      </c>
      <c r="I632" s="87" t="s">
        <v>110</v>
      </c>
      <c r="J632" s="80">
        <f>G632-H632</f>
        <v>0</v>
      </c>
      <c r="K632" s="67"/>
      <c r="L632" s="69"/>
      <c r="M632" s="8"/>
    </row>
    <row r="633" spans="1:13" s="3" customFormat="1" ht="12.2" customHeight="1" x14ac:dyDescent="0.15">
      <c r="A633" s="21"/>
      <c r="B633" s="22"/>
      <c r="C633" s="22"/>
      <c r="D633" s="22"/>
      <c r="E633" s="22"/>
      <c r="F633" s="86" t="s">
        <v>394</v>
      </c>
      <c r="G633" s="80">
        <f>SUM(L272)</f>
        <v>31246140.990000002</v>
      </c>
      <c r="H633" s="80">
        <f>SUM(F473)</f>
        <v>31246140.989999998</v>
      </c>
      <c r="I633" s="87" t="s">
        <v>111</v>
      </c>
      <c r="J633" s="80">
        <f t="shared" si="51"/>
        <v>0</v>
      </c>
      <c r="K633" s="67"/>
      <c r="L633" s="69"/>
      <c r="M633" s="8"/>
    </row>
    <row r="634" spans="1:13" s="3" customFormat="1" ht="12.2" customHeight="1" x14ac:dyDescent="0.15">
      <c r="A634" s="21"/>
      <c r="B634" s="22"/>
      <c r="C634" s="22"/>
      <c r="D634" s="22"/>
      <c r="E634" s="22"/>
      <c r="F634" s="86" t="s">
        <v>395</v>
      </c>
      <c r="G634" s="80">
        <f>SUM(L353)</f>
        <v>1444533.56</v>
      </c>
      <c r="H634" s="80">
        <f>SUM(H473)</f>
        <v>1444533.56</v>
      </c>
      <c r="I634" s="87" t="s">
        <v>112</v>
      </c>
      <c r="J634" s="80">
        <f>G634-H634</f>
        <v>0</v>
      </c>
      <c r="K634" s="67"/>
      <c r="L634" s="69"/>
      <c r="M634" s="8"/>
    </row>
    <row r="635" spans="1:13" s="124" customFormat="1" ht="12.2" customHeight="1" x14ac:dyDescent="0.15">
      <c r="A635" s="21"/>
      <c r="B635" s="22"/>
      <c r="C635" s="22"/>
      <c r="D635" s="22"/>
      <c r="E635" s="22"/>
      <c r="F635" s="99" t="s">
        <v>247</v>
      </c>
      <c r="G635" s="80">
        <f>I363</f>
        <v>311357.46000000002</v>
      </c>
      <c r="H635" s="80">
        <f>I370</f>
        <v>311357.46000000002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763811.85000000009</v>
      </c>
      <c r="H636" s="80">
        <f>SUM(G473)</f>
        <v>763811.85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67987.58</v>
      </c>
      <c r="H638" s="108">
        <f>SUM(J469)</f>
        <v>67987.58</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113384</v>
      </c>
      <c r="H639" s="108">
        <f>SUM(J473)</f>
        <v>113384</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872998.56</v>
      </c>
      <c r="H641" s="80">
        <f>SUM(G462)</f>
        <v>872998.56</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872998.56</v>
      </c>
      <c r="H643" s="80">
        <f>SUM(I462)</f>
        <v>872998.56</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67987.58</v>
      </c>
      <c r="H645" s="80">
        <f>H409</f>
        <v>67987.58</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67987.58</v>
      </c>
      <c r="H647" s="80">
        <f>L409</f>
        <v>67987.58</v>
      </c>
      <c r="I647" s="87" t="s">
        <v>477</v>
      </c>
      <c r="J647" s="80">
        <f t="shared" si="51"/>
        <v>0</v>
      </c>
      <c r="K647" s="67"/>
      <c r="L647" s="69"/>
      <c r="M647" s="8"/>
    </row>
    <row r="648" spans="1:13" s="3" customFormat="1" ht="12.2" customHeight="1" x14ac:dyDescent="0.15">
      <c r="A648" s="21"/>
      <c r="B648" s="22"/>
      <c r="C648" s="22"/>
      <c r="D648" s="22"/>
      <c r="E648" s="22"/>
      <c r="F648" s="86" t="s">
        <v>51</v>
      </c>
      <c r="G648" s="80">
        <f>K599</f>
        <v>1482677.5499999998</v>
      </c>
      <c r="H648" s="80">
        <f>L209+L227+L245</f>
        <v>1482677.5499999998</v>
      </c>
      <c r="I648" s="87" t="s">
        <v>396</v>
      </c>
      <c r="J648" s="80">
        <f t="shared" si="51"/>
        <v>0</v>
      </c>
      <c r="K648" s="67"/>
      <c r="L648" s="69"/>
      <c r="M648" s="8"/>
    </row>
    <row r="649" spans="1:13" s="3" customFormat="1" ht="12.2" customHeight="1" x14ac:dyDescent="0.15">
      <c r="A649" s="21"/>
      <c r="B649" s="22"/>
      <c r="C649" s="22"/>
      <c r="D649" s="22"/>
      <c r="E649" s="22"/>
      <c r="F649" s="86" t="s">
        <v>52</v>
      </c>
      <c r="G649" s="80">
        <f>K606</f>
        <v>432744.97000000003</v>
      </c>
      <c r="H649" s="80">
        <f>(J258+J339)-(J256+J337)</f>
        <v>432744.97000000003</v>
      </c>
      <c r="I649" s="87" t="s">
        <v>699</v>
      </c>
      <c r="J649" s="80">
        <f t="shared" si="51"/>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1482677.5499999998</v>
      </c>
      <c r="H652" s="80">
        <f>J599</f>
        <v>1482677.5499999998</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2291</v>
      </c>
      <c r="H653" s="80">
        <f>K264+K346</f>
        <v>2291</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0</v>
      </c>
      <c r="G661" s="13">
        <f>(L230+L310+L360)</f>
        <v>0</v>
      </c>
      <c r="H661" s="13">
        <f>(L248+L329+L361)</f>
        <v>30846159.750000004</v>
      </c>
      <c r="I661" s="13">
        <f>SUM(F661:H661)</f>
        <v>30846159.750000004</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466628.37000000005</v>
      </c>
      <c r="I662" s="13">
        <f>SUM(F662:H662)</f>
        <v>466628.37000000005</v>
      </c>
      <c r="J662"/>
      <c r="K662" s="13"/>
      <c r="L662" s="13"/>
      <c r="M662" s="8"/>
    </row>
    <row r="663" spans="1:13" s="3" customFormat="1" ht="12.2" customHeight="1" x14ac:dyDescent="0.2">
      <c r="A663" s="1" t="s">
        <v>128</v>
      </c>
      <c r="F663" s="13">
        <f>(L209+L288)-(J209+J288)</f>
        <v>0</v>
      </c>
      <c r="G663" s="13">
        <f>(L227+L307)-(J227+J307)</f>
        <v>0</v>
      </c>
      <c r="H663" s="13">
        <f>(L245+L326)-(J245+J326)</f>
        <v>1527044.89</v>
      </c>
      <c r="I663" s="13">
        <f>SUM(F663:H663)</f>
        <v>1527044.89</v>
      </c>
      <c r="J663"/>
      <c r="K663" s="13"/>
      <c r="L663" s="13"/>
      <c r="M663" s="9"/>
    </row>
    <row r="664" spans="1:13" s="3" customFormat="1" ht="12.2" customHeight="1" x14ac:dyDescent="0.15">
      <c r="A664" s="141" t="s">
        <v>129</v>
      </c>
      <c r="B664" s="124"/>
      <c r="C664" s="124"/>
      <c r="D664" s="124"/>
      <c r="E664" s="124"/>
      <c r="F664" s="142">
        <f>SUM(F576:F588)+SUM(H603:H605)+SUM(L612)</f>
        <v>0</v>
      </c>
      <c r="G664" s="142">
        <f>SUM(G576:G588)+SUM(I603:I605)+L613</f>
        <v>0</v>
      </c>
      <c r="H664" s="142">
        <f>SUM(H576:H588)+SUM(J603:J605)+L614</f>
        <v>2440827.9900000002</v>
      </c>
      <c r="I664" s="13">
        <f>SUM(F664:H664)</f>
        <v>2440827.9900000002</v>
      </c>
      <c r="J664" s="13"/>
      <c r="K664" s="13"/>
      <c r="L664" s="13"/>
      <c r="M664" s="9"/>
    </row>
    <row r="665" spans="1:13" s="3" customFormat="1" ht="12.2" customHeight="1" x14ac:dyDescent="0.15">
      <c r="A665" s="1" t="s">
        <v>130</v>
      </c>
      <c r="F665" s="13">
        <f>F661-SUM(F662:F664)</f>
        <v>0</v>
      </c>
      <c r="G665" s="13">
        <f>G661-SUM(G662:G664)</f>
        <v>0</v>
      </c>
      <c r="H665" s="13">
        <f>H661-SUM(H662:H664)</f>
        <v>26411658.500000004</v>
      </c>
      <c r="I665" s="13">
        <f>I661-SUM(I662:I664)</f>
        <v>26411658.500000004</v>
      </c>
      <c r="J665" s="13"/>
      <c r="K665" s="13"/>
      <c r="L665" s="13"/>
      <c r="M665" s="8"/>
    </row>
    <row r="666" spans="1:13" s="3" customFormat="1" ht="12.2" customHeight="1" x14ac:dyDescent="0.2">
      <c r="A666" s="1" t="s">
        <v>131</v>
      </c>
      <c r="F666" s="182"/>
      <c r="G666" s="183"/>
      <c r="H666" s="183">
        <v>1026.77</v>
      </c>
      <c r="I666" s="13">
        <f>SUM(F666:H666)</f>
        <v>1026.77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f>ROUND(H665/H666,2)</f>
        <v>25723.05</v>
      </c>
      <c r="I668" s="13">
        <f>ROUND(I665/I666,2)</f>
        <v>25723.05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-23</v>
      </c>
      <c r="I671" s="13">
        <f>SUM(F671:H671)</f>
        <v>-23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f>ROUND((H665+H670)/(H666+H671),2)</f>
        <v>26312.46</v>
      </c>
      <c r="I673" s="13">
        <f>ROUND((I665+I670)/(I666+I671),2)</f>
        <v>26312.46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horizontalDpi="1200" verticalDpi="1200"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167587.73000000001</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2819.33+11139.88+30957.21+2588.24+71516.4+16502.05</f>
        <v>135523.10999999999</v>
      </c>
      <c r="F9" s="271" t="s">
        <v>1612</v>
      </c>
    </row>
    <row r="10" spans="2:8" x14ac:dyDescent="0.25">
      <c r="B10" s="270"/>
      <c r="C10" s="270"/>
      <c r="D10" s="270"/>
      <c r="E10" s="270"/>
      <c r="F10" s="270"/>
    </row>
    <row r="11" spans="2:8" x14ac:dyDescent="0.25">
      <c r="B11" s="270"/>
      <c r="C11" s="274" t="s">
        <v>1616</v>
      </c>
      <c r="D11" s="271" t="s">
        <v>1619</v>
      </c>
      <c r="E11" s="259">
        <f>634.9+10751.38</f>
        <v>11386.279999999999</v>
      </c>
      <c r="F11" s="271" t="s">
        <v>1613</v>
      </c>
    </row>
    <row r="12" spans="2:8" x14ac:dyDescent="0.25">
      <c r="B12" s="270"/>
      <c r="C12" s="270"/>
      <c r="D12" s="271"/>
      <c r="E12" s="270"/>
      <c r="F12" s="270"/>
    </row>
    <row r="13" spans="2:8" x14ac:dyDescent="0.25">
      <c r="B13" s="270"/>
      <c r="C13" s="271" t="s">
        <v>1606</v>
      </c>
      <c r="D13" s="271" t="s">
        <v>1620</v>
      </c>
      <c r="E13" s="259">
        <f>4662.28+5836.06+10180</f>
        <v>20678.34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8"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Winnacunnet Cooperative</v>
      </c>
      <c r="C5" s="321"/>
      <c r="D5" s="321"/>
      <c r="E5" s="321"/>
      <c r="F5" s="321"/>
    </row>
    <row r="8" spans="1:9" ht="18" x14ac:dyDescent="0.25">
      <c r="A8" s="239" t="s">
        <v>1548</v>
      </c>
      <c r="F8" s="246" t="s">
        <v>1566</v>
      </c>
    </row>
    <row r="9" spans="1:9" ht="15" x14ac:dyDescent="0.2">
      <c r="A9" s="237" t="s">
        <v>1549</v>
      </c>
      <c r="B9" s="240">
        <f>'DOE25'!G97</f>
        <v>461628.37000000005</v>
      </c>
      <c r="F9" s="237" t="s">
        <v>1562</v>
      </c>
    </row>
    <row r="10" spans="1:9" ht="15" x14ac:dyDescent="0.2">
      <c r="A10" s="237" t="s">
        <v>1550</v>
      </c>
      <c r="B10" s="240">
        <f>'DOE25'!G112-'DOE25'!G97</f>
        <v>5000</v>
      </c>
      <c r="F10" s="237" t="s">
        <v>1563</v>
      </c>
    </row>
    <row r="11" spans="1:9" ht="15" x14ac:dyDescent="0.2">
      <c r="A11" s="237" t="s">
        <v>1551</v>
      </c>
      <c r="B11" s="240">
        <f>'DOE25'!G140</f>
        <v>5070.8599999999997</v>
      </c>
      <c r="F11" s="237" t="s">
        <v>1564</v>
      </c>
    </row>
    <row r="12" spans="1:9" ht="15" x14ac:dyDescent="0.2">
      <c r="A12" s="237" t="s">
        <v>1552</v>
      </c>
      <c r="B12" s="240">
        <f>'DOE25'!G170</f>
        <v>171853.91999999998</v>
      </c>
      <c r="F12" s="237" t="s">
        <v>1565</v>
      </c>
    </row>
    <row r="13" spans="1:9" ht="15" x14ac:dyDescent="0.2">
      <c r="A13" s="237" t="s">
        <v>1553</v>
      </c>
      <c r="B13" s="240">
        <f>'DOE25'!G193-'DOE25'!G180</f>
        <v>0</v>
      </c>
      <c r="F13" s="237" t="s">
        <v>1575</v>
      </c>
    </row>
    <row r="14" spans="1:9" ht="18" x14ac:dyDescent="0.25">
      <c r="A14" s="239" t="s">
        <v>732</v>
      </c>
      <c r="B14" s="241">
        <f>SUM(B9:B13)</f>
        <v>643553.15</v>
      </c>
    </row>
    <row r="16" spans="1:9" ht="18" x14ac:dyDescent="0.25">
      <c r="A16" s="239" t="s">
        <v>783</v>
      </c>
      <c r="F16" s="246" t="s">
        <v>1567</v>
      </c>
    </row>
    <row r="17" spans="1:6" ht="15" x14ac:dyDescent="0.2">
      <c r="A17" s="237" t="s">
        <v>1554</v>
      </c>
      <c r="B17" s="240">
        <f>'DOE25'!L363-'DOE25'!L362</f>
        <v>763811.85000000009</v>
      </c>
      <c r="F17" s="237" t="s">
        <v>1568</v>
      </c>
    </row>
    <row r="18" spans="1:6" ht="15" x14ac:dyDescent="0.2">
      <c r="A18" s="237" t="s">
        <v>1555</v>
      </c>
      <c r="B18" s="250"/>
      <c r="F18" s="246" t="s">
        <v>1592</v>
      </c>
    </row>
    <row r="19" spans="1:6" ht="18" x14ac:dyDescent="0.25">
      <c r="A19" s="239" t="s">
        <v>725</v>
      </c>
      <c r="B19" s="241">
        <f>SUM(B17:B18)</f>
        <v>763811.85000000009</v>
      </c>
    </row>
    <row r="21" spans="1:6" ht="18.75" thickBot="1" x14ac:dyDescent="0.3">
      <c r="A21" s="239" t="s">
        <v>1556</v>
      </c>
    </row>
    <row r="22" spans="1:6" ht="18.75" thickTop="1" x14ac:dyDescent="0.25">
      <c r="A22" s="239" t="s">
        <v>1557</v>
      </c>
      <c r="B22" s="245">
        <f>B14-B19</f>
        <v>-120258.70000000007</v>
      </c>
      <c r="F22" s="237" t="s">
        <v>1569</v>
      </c>
    </row>
    <row r="26" spans="1:6" ht="18" x14ac:dyDescent="0.25">
      <c r="A26" s="239" t="s">
        <v>186</v>
      </c>
    </row>
    <row r="27" spans="1:6" ht="15" x14ac:dyDescent="0.2">
      <c r="A27" s="237" t="s">
        <v>1558</v>
      </c>
      <c r="B27" s="240">
        <f>'DOE25'!G180</f>
        <v>2291</v>
      </c>
      <c r="F27" s="237" t="s">
        <v>1570</v>
      </c>
    </row>
    <row r="28" spans="1:6" ht="15" x14ac:dyDescent="0.2">
      <c r="A28" s="237" t="s">
        <v>1560</v>
      </c>
      <c r="B28" s="240">
        <f>'DOE25'!L362</f>
        <v>0</v>
      </c>
      <c r="F28" s="237" t="s">
        <v>1571</v>
      </c>
    </row>
    <row r="31" spans="1:6" ht="15" x14ac:dyDescent="0.2">
      <c r="A31" s="237" t="s">
        <v>1789</v>
      </c>
      <c r="B31" s="240">
        <f>'DOE25'!G466</f>
        <v>216715.08</v>
      </c>
      <c r="F31" s="237" t="s">
        <v>1572</v>
      </c>
    </row>
    <row r="33" spans="1:6" ht="15" x14ac:dyDescent="0.2">
      <c r="A33" s="237" t="s">
        <v>1790</v>
      </c>
      <c r="B33" s="240">
        <f>'DOE25'!G477</f>
        <v>98747.38</v>
      </c>
      <c r="F33" s="237" t="s">
        <v>1573</v>
      </c>
    </row>
    <row r="36" spans="1:6" ht="15" x14ac:dyDescent="0.2">
      <c r="A36" s="237" t="s">
        <v>1559</v>
      </c>
      <c r="B36" s="251">
        <v>27483.18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17" sqref="F17"/>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Winnacunnet Cooperative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7795666.7800000003</v>
      </c>
      <c r="C9" s="166">
        <f>'DOE25'!G198+'DOE25'!G216+'DOE25'!G234+'DOE25'!G277+'DOE25'!G296+'DOE25'!G315</f>
        <v>3762078.81</v>
      </c>
    </row>
    <row r="10" spans="1:3" x14ac:dyDescent="0.2">
      <c r="A10" t="s">
        <v>772</v>
      </c>
      <c r="B10" s="176">
        <f>109464+7225146.54</f>
        <v>7334610.54</v>
      </c>
      <c r="C10" s="176">
        <f>23761.1+3667139.71</f>
        <v>3690900.81</v>
      </c>
    </row>
    <row r="11" spans="1:3" x14ac:dyDescent="0.2">
      <c r="A11" t="s">
        <v>773</v>
      </c>
      <c r="B11" s="176"/>
      <c r="C11" s="176"/>
    </row>
    <row r="12" spans="1:3" x14ac:dyDescent="0.2">
      <c r="A12" t="s">
        <v>774</v>
      </c>
      <c r="B12" s="176">
        <f>214319.34+23755.33+17685.46+205296.11</f>
        <v>461056.24</v>
      </c>
      <c r="C12" s="176">
        <v>71178</v>
      </c>
    </row>
    <row r="13" spans="1:3" x14ac:dyDescent="0.2">
      <c r="A13" t="str">
        <f>IF(B9=B13,IF(C9=C13,"Check Total OK","Check Total Error"),"Check Total Error")</f>
        <v>Check Total OK</v>
      </c>
      <c r="B13" s="168">
        <f>SUM(B10:B12)</f>
        <v>7795666.7800000003</v>
      </c>
      <c r="C13" s="168">
        <f>SUM(C10:C12)</f>
        <v>3762078.81</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2332260.91</v>
      </c>
      <c r="C18" s="166">
        <f>'DOE25'!G199+'DOE25'!G217+'DOE25'!G235+'DOE25'!G278+'DOE25'!G297+'DOE25'!G316</f>
        <v>1106991.83</v>
      </c>
    </row>
    <row r="19" spans="1:3" x14ac:dyDescent="0.2">
      <c r="A19" t="s">
        <v>772</v>
      </c>
      <c r="B19" s="176">
        <f>389.5+91931+1196682.7</f>
        <v>1289003.2</v>
      </c>
      <c r="C19" s="176">
        <f>29.8+26958.12+1090.08+6550.05+18055.23+572004.86</f>
        <v>624688.14</v>
      </c>
    </row>
    <row r="20" spans="1:3" x14ac:dyDescent="0.2">
      <c r="A20" t="s">
        <v>773</v>
      </c>
      <c r="B20" s="176">
        <f>4420.44+11546.47+380405.45+1939.61</f>
        <v>398311.97</v>
      </c>
      <c r="C20" s="176">
        <f>338.17+674.59+883.31+166250.49</f>
        <v>168146.56</v>
      </c>
    </row>
    <row r="21" spans="1:3" x14ac:dyDescent="0.2">
      <c r="A21" t="s">
        <v>774</v>
      </c>
      <c r="B21" s="176">
        <f>18774.23+127992+400606.71+58954.25+38618.55</f>
        <v>644945.74000000011</v>
      </c>
      <c r="C21" s="176">
        <f>1436.23+57901.34+220131.21+26149.78+8538.57</f>
        <v>314157.12999999995</v>
      </c>
    </row>
    <row r="22" spans="1:3" x14ac:dyDescent="0.2">
      <c r="A22" t="str">
        <f>IF(B18=B22,IF(C18=C22,"Check Total OK","Check Total Error"),"Check Total Error")</f>
        <v>Check Total OK</v>
      </c>
      <c r="B22" s="168">
        <f>SUM(B19:B21)</f>
        <v>2332260.91</v>
      </c>
      <c r="C22" s="168">
        <f>SUM(C19:C21)</f>
        <v>1106991.8299999998</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703384.75</v>
      </c>
      <c r="C36" s="172">
        <f>'DOE25'!G201+'DOE25'!G219+'DOE25'!G237+'DOE25'!G280+'DOE25'!G299+'DOE25'!G318</f>
        <v>224875.06</v>
      </c>
    </row>
    <row r="37" spans="1:3" x14ac:dyDescent="0.2">
      <c r="A37" t="s">
        <v>772</v>
      </c>
      <c r="B37" s="176">
        <f>32532.62+65136.16</f>
        <v>97668.78</v>
      </c>
      <c r="C37" s="176">
        <f>8972.81+17775.66</f>
        <v>26748.47</v>
      </c>
    </row>
    <row r="38" spans="1:3" x14ac:dyDescent="0.2">
      <c r="A38" t="s">
        <v>773</v>
      </c>
      <c r="B38" s="176"/>
      <c r="C38" s="176"/>
    </row>
    <row r="39" spans="1:3" x14ac:dyDescent="0.2">
      <c r="A39" t="s">
        <v>774</v>
      </c>
      <c r="B39" s="176">
        <v>605715.97</v>
      </c>
      <c r="C39" s="176">
        <f>198126.59</f>
        <v>198126.59</v>
      </c>
    </row>
    <row r="40" spans="1:3" x14ac:dyDescent="0.2">
      <c r="A40" t="str">
        <f>IF(B36=B40,IF(C36=C40,"Check Total OK","Check Total Error"),"Check Total Error")</f>
        <v>Check Total OK</v>
      </c>
      <c r="B40" s="168">
        <f>SUM(B37:B39)</f>
        <v>703384.75</v>
      </c>
      <c r="C40" s="168">
        <f>SUM(C37:C39)</f>
        <v>224875.06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E39" sqref="E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Winnacunnet Cooperative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18386152.930000003</v>
      </c>
      <c r="D5" s="19">
        <f>SUM('DOE25'!L198:L201)+SUM('DOE25'!L216:L219)+SUM('DOE25'!L234:L237)-F5-G5-H5</f>
        <v>18108971.430000003</v>
      </c>
      <c r="E5" s="179"/>
      <c r="F5" s="180">
        <f>209029.95-25000</f>
        <v>184029.95</v>
      </c>
      <c r="G5" s="19">
        <f>SUM('DOE25'!J198:J201)+SUM('DOE25'!J216:J219)+SUM('DOE25'!J234:J237)</f>
        <v>33797.51</v>
      </c>
      <c r="H5" s="19">
        <f>SUM('DOE25'!K198:K201)+SUM('DOE25'!K216:K219)+SUM('DOE25'!K234:K237)</f>
        <v>59354.04</v>
      </c>
      <c r="I5" s="191"/>
    </row>
    <row r="6" spans="1:9" x14ac:dyDescent="0.2">
      <c r="A6" s="31">
        <v>2100</v>
      </c>
      <c r="B6" t="s">
        <v>793</v>
      </c>
      <c r="C6" s="205">
        <f t="shared" si="0"/>
        <v>1752380.21</v>
      </c>
      <c r="D6" s="19">
        <f>'DOE25'!L203+'DOE25'!L221+'DOE25'!L239-F6-G6-H6</f>
        <v>1752030.21</v>
      </c>
      <c r="E6" s="179"/>
      <c r="F6" s="180"/>
      <c r="G6" s="19">
        <f>'DOE25'!J203+'DOE25'!J221+'DOE25'!J239</f>
        <v>0</v>
      </c>
      <c r="H6" s="19">
        <f>'DOE25'!K203+'DOE25'!K221+'DOE25'!K239</f>
        <v>350</v>
      </c>
      <c r="I6" s="191"/>
    </row>
    <row r="7" spans="1:9" x14ac:dyDescent="0.2">
      <c r="A7" s="31">
        <v>2200</v>
      </c>
      <c r="B7" t="s">
        <v>817</v>
      </c>
      <c r="C7" s="205">
        <f t="shared" si="0"/>
        <v>1803443</v>
      </c>
      <c r="D7" s="19">
        <f>'DOE25'!L204+'DOE25'!L222+'DOE25'!L240-F7-G7-H7</f>
        <v>1552440.2000000002</v>
      </c>
      <c r="E7" s="179"/>
      <c r="F7" s="180">
        <f>64793.68-25000</f>
        <v>39793.68</v>
      </c>
      <c r="G7" s="19">
        <f>'DOE25'!J204+'DOE25'!J222+'DOE25'!J240</f>
        <v>211209.12</v>
      </c>
      <c r="H7" s="19">
        <f>'DOE25'!K204+'DOE25'!K222+'DOE25'!K240</f>
        <v>0</v>
      </c>
      <c r="I7" s="191"/>
    </row>
    <row r="8" spans="1:9" x14ac:dyDescent="0.2">
      <c r="A8" s="31">
        <v>2300</v>
      </c>
      <c r="B8" t="s">
        <v>794</v>
      </c>
      <c r="C8" s="205">
        <f t="shared" si="0"/>
        <v>1020293.3</v>
      </c>
      <c r="D8" s="179"/>
      <c r="E8" s="19">
        <f>'DOE25'!L205+'DOE25'!L223+'DOE25'!L241-F8-G8-H8-D9-D11</f>
        <v>1014032.4</v>
      </c>
      <c r="F8" s="180"/>
      <c r="G8" s="19">
        <f>'DOE25'!J205+'DOE25'!J223+'DOE25'!J241</f>
        <v>0</v>
      </c>
      <c r="H8" s="19">
        <f>'DOE25'!K205+'DOE25'!K223+'DOE25'!K241</f>
        <v>6260.9</v>
      </c>
      <c r="I8" s="191"/>
    </row>
    <row r="9" spans="1:9" ht="14.25" x14ac:dyDescent="0.2">
      <c r="A9" s="31">
        <v>2310</v>
      </c>
      <c r="B9" s="71" t="s">
        <v>884</v>
      </c>
      <c r="C9" s="205">
        <f t="shared" si="0"/>
        <v>90649.12</v>
      </c>
      <c r="D9" s="180">
        <v>90649.12</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1511360.32</v>
      </c>
      <c r="D12" s="19">
        <f>'DOE25'!L206+'DOE25'!L224+'DOE25'!L242-F12-G12-H12</f>
        <v>1445444.32</v>
      </c>
      <c r="E12" s="179"/>
      <c r="F12" s="180"/>
      <c r="G12" s="19">
        <f>'DOE25'!J206+'DOE25'!J224+'DOE25'!J242</f>
        <v>0</v>
      </c>
      <c r="H12" s="19">
        <f>'DOE25'!K206+'DOE25'!K224+'DOE25'!K242</f>
        <v>65916</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2619463.56</v>
      </c>
      <c r="D14" s="19">
        <f>'DOE25'!L208+'DOE25'!L226+'DOE25'!L244-F14-G14-H14</f>
        <v>2487470.2800000003</v>
      </c>
      <c r="E14" s="179"/>
      <c r="F14" s="180">
        <f>52530-25000</f>
        <v>27530</v>
      </c>
      <c r="G14" s="19">
        <f>'DOE25'!J208+'DOE25'!J226+'DOE25'!J244</f>
        <v>104463.28</v>
      </c>
      <c r="H14" s="19">
        <f>'DOE25'!K208+'DOE25'!K226+'DOE25'!K244</f>
        <v>0</v>
      </c>
      <c r="I14" s="191"/>
    </row>
    <row r="15" spans="1:9" x14ac:dyDescent="0.2">
      <c r="A15" s="31">
        <v>2700</v>
      </c>
      <c r="B15" t="s">
        <v>796</v>
      </c>
      <c r="C15" s="205">
        <f t="shared" si="0"/>
        <v>1482677.5499999998</v>
      </c>
      <c r="D15" s="19">
        <f>'DOE25'!L209+'DOE25'!L227+'DOE25'!L245-F15-G15-H15</f>
        <v>24999.999999999767</v>
      </c>
      <c r="E15" s="179"/>
      <c r="F15" s="180">
        <f>1482677.55-25000</f>
        <v>1457677.55</v>
      </c>
      <c r="G15" s="19">
        <f>'DOE25'!J209+'DOE25'!J227+'DOE25'!J245</f>
        <v>0</v>
      </c>
      <c r="H15" s="19">
        <f>'DOE25'!K209+'DOE25'!K227+'DOE25'!K245</f>
        <v>0</v>
      </c>
      <c r="I15" s="191"/>
    </row>
    <row r="16" spans="1:9" x14ac:dyDescent="0.2">
      <c r="A16" s="31">
        <v>2800</v>
      </c>
      <c r="B16" t="s">
        <v>797</v>
      </c>
      <c r="C16" s="205">
        <f t="shared" si="0"/>
        <v>2472.6</v>
      </c>
      <c r="D16" s="179"/>
      <c r="E16" s="19">
        <f>'DOE25'!L210+'DOE25'!L228+'DOE25'!L246-F16-G16-H16</f>
        <v>0</v>
      </c>
      <c r="F16" s="180"/>
      <c r="G16" s="19">
        <f>'DOE25'!J210+'DOE25'!J228+'DOE25'!J246</f>
        <v>0</v>
      </c>
      <c r="H16" s="19">
        <f>'DOE25'!K210+'DOE25'!K228+'DOE25'!K246</f>
        <v>2472.6</v>
      </c>
      <c r="I16" s="191"/>
    </row>
    <row r="17" spans="1:9" x14ac:dyDescent="0.2">
      <c r="A17" s="31">
        <v>1600</v>
      </c>
      <c r="B17" t="s">
        <v>798</v>
      </c>
      <c r="C17" s="205">
        <f t="shared" si="0"/>
        <v>139830.39999999999</v>
      </c>
      <c r="D17" s="19">
        <f>'DOE25'!L252-F17-G17-H17</f>
        <v>139830.39999999999</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464738.04</v>
      </c>
      <c r="D22" s="179"/>
      <c r="E22" s="179"/>
      <c r="F22" s="179"/>
      <c r="G22" s="19">
        <f>'DOE25'!L256+'DOE25'!L337</f>
        <v>464738.04</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1971439</v>
      </c>
      <c r="D25" s="179"/>
      <c r="E25" s="179"/>
      <c r="F25" s="190"/>
      <c r="G25" s="179"/>
      <c r="H25" s="179"/>
      <c r="I25" s="189">
        <f>'DOE25'!L261+'DOE25'!L262+'DOE25'!L342+'DOE25'!L343</f>
        <v>1971439</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473899.85000000009</v>
      </c>
      <c r="D29" s="211">
        <f>'DOE25'!L359+'DOE25'!L360+'DOE25'!L361-'DOE25'!I368-F29-G29-H29-F39</f>
        <v>329231.91000000009</v>
      </c>
      <c r="E29" s="179"/>
      <c r="F29" s="179"/>
      <c r="G29" s="19">
        <f>'DOE25'!J359+'DOE25'!J360+'DOE25'!J361</f>
        <v>142068.20000000001</v>
      </c>
      <c r="H29" s="19">
        <f>'DOE25'!K359+'DOE25'!K360+'DOE25'!K361</f>
        <v>2599.7399999999998</v>
      </c>
      <c r="I29" s="191"/>
    </row>
    <row r="30" spans="1:9" x14ac:dyDescent="0.2">
      <c r="A30" s="31"/>
      <c r="C30" s="206"/>
      <c r="D30" s="19"/>
      <c r="F30" s="200"/>
      <c r="G30" s="19"/>
      <c r="H30" s="19"/>
      <c r="I30" s="191"/>
    </row>
    <row r="31" spans="1:9" x14ac:dyDescent="0.2">
      <c r="A31" s="31" t="s">
        <v>814</v>
      </c>
      <c r="B31" t="s">
        <v>813</v>
      </c>
      <c r="C31" s="205">
        <f>SUM(D31:I31)</f>
        <v>1443483.52</v>
      </c>
      <c r="D31" s="19">
        <f>'DOE25'!L291+'DOE25'!L310+'DOE25'!L329+'DOE25'!L334+'DOE25'!L335+'DOE25'!L336-F31-G31-H31</f>
        <v>1325293.27</v>
      </c>
      <c r="E31" s="179"/>
      <c r="F31" s="180"/>
      <c r="G31" s="19">
        <f>'DOE25'!J291+'DOE25'!J310+'DOE25'!J329+'DOE25'!J334+'DOE25'!J335+'DOE25'!J336</f>
        <v>83275.06</v>
      </c>
      <c r="H31" s="19">
        <f>'DOE25'!K291+'DOE25'!K310+'DOE25'!K329+'DOE25'!K334+'DOE25'!K335+'DOE25'!K336</f>
        <v>34915.19</v>
      </c>
      <c r="I31" s="191"/>
    </row>
    <row r="32" spans="1:9" ht="12" thickBot="1" x14ac:dyDescent="0.25">
      <c r="C32" s="206"/>
      <c r="G32" s="187"/>
      <c r="H32" s="187"/>
      <c r="I32" s="193"/>
    </row>
    <row r="33" spans="1:9" ht="12" thickTop="1" x14ac:dyDescent="0.2">
      <c r="B33" t="s">
        <v>806</v>
      </c>
      <c r="D33" s="181">
        <f t="shared" ref="D33:I33" si="1">SUM(D5:D31)</f>
        <v>27256361.140000004</v>
      </c>
      <c r="E33" s="181">
        <f t="shared" si="1"/>
        <v>1014032.4</v>
      </c>
      <c r="F33" s="181">
        <f t="shared" si="1"/>
        <v>1709031.1800000002</v>
      </c>
      <c r="G33" s="181">
        <f t="shared" si="1"/>
        <v>1039551.21</v>
      </c>
      <c r="H33" s="181">
        <f t="shared" si="1"/>
        <v>171868.47</v>
      </c>
      <c r="I33" s="181">
        <f t="shared" si="1"/>
        <v>1971439</v>
      </c>
    </row>
    <row r="34" spans="1:9" ht="12" thickBot="1" x14ac:dyDescent="0.25"/>
    <row r="35" spans="1:9" ht="12" thickBot="1" x14ac:dyDescent="0.25">
      <c r="B35" s="187" t="s">
        <v>827</v>
      </c>
      <c r="D35" s="188">
        <f>E33</f>
        <v>1014032.4</v>
      </c>
      <c r="E35" s="184"/>
      <c r="F35" s="294" t="s">
        <v>1596</v>
      </c>
      <c r="G35" s="295"/>
      <c r="H35" s="295"/>
      <c r="I35" s="296"/>
    </row>
    <row r="36" spans="1:9" ht="12" thickTop="1" x14ac:dyDescent="0.2">
      <c r="B36" t="s">
        <v>807</v>
      </c>
      <c r="D36" s="19">
        <f>D33</f>
        <v>27256361.140000004</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5" zoomScaleNormal="100" workbookViewId="0">
      <selection activeCell="A41" sqref="A4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Winnacunnet Cooperative</v>
      </c>
      <c r="B2">
        <f>'DOE25'!B2</f>
        <v>581</v>
      </c>
      <c r="J2" s="223" t="s">
        <v>1799</v>
      </c>
      <c r="K2" s="308">
        <f>SUM('DOE25'!L198:L201)+SUM('DOE25'!L277:L280)</f>
        <v>0</v>
      </c>
      <c r="L2" s="308">
        <f>'DOE25'!L203+'DOE25'!L282</f>
        <v>0</v>
      </c>
      <c r="M2" s="308">
        <f>'DOE25'!L204+'DOE25'!L283</f>
        <v>0</v>
      </c>
      <c r="N2" s="308">
        <f>'DOE25'!L206+'DOE25'!L285</f>
        <v>0</v>
      </c>
      <c r="O2" s="316">
        <f>'Salaries-Benefits'!B10+'Salaries-Benefits'!B12+'Salaries-Benefits'!B19+'Salaries-Benefits'!B21+'Salaries-Benefits'!B28+'Salaries-Benefits'!B30+'Salaries-Benefits'!B37+'Salaries-Benefits'!B39</f>
        <v>10433000.470000001</v>
      </c>
      <c r="P2" s="316">
        <f>'Salaries-Benefits'!B11+'Salaries-Benefits'!B20+'Salaries-Benefits'!B29+'Salaries-Benefits'!B38</f>
        <v>398311.97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0</v>
      </c>
      <c r="G4" s="228">
        <f>'DOE25'!L212+'DOE25'!L291</f>
        <v>0</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0</v>
      </c>
      <c r="E21" s="261">
        <f>SUM(E5:E20)</f>
        <v>0</v>
      </c>
      <c r="F21" s="216"/>
      <c r="G21" s="216"/>
      <c r="H21" s="216"/>
      <c r="K21" s="262">
        <f t="shared" ref="K21:Q21" si="4">SUM(K5:K20)</f>
        <v>0</v>
      </c>
      <c r="L21" s="262">
        <f t="shared" si="4"/>
        <v>0</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18911337.770000003</v>
      </c>
      <c r="L36" s="19">
        <f>'DOE25'!L239+'DOE25'!L320</f>
        <v>1889871.42</v>
      </c>
      <c r="M36" s="19">
        <f>'DOE25'!L240+'DOE25'!L321</f>
        <v>1885765.33</v>
      </c>
      <c r="N36" s="19">
        <f>'DOE25'!L242+'DOE25'!L323</f>
        <v>1511360.32</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30082347.899999999</v>
      </c>
      <c r="G38" s="228">
        <f>'DOE25'!L248+'DOE25'!L329</f>
        <v>30082347.900000002</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1621003+579243.96+308233.96</f>
        <v>2508480.92</v>
      </c>
      <c r="E39" s="219"/>
      <c r="F39" s="231">
        <f t="shared" ref="F39:F44" si="10">D39+E39</f>
        <v>2508480.92</v>
      </c>
      <c r="G39" s="222"/>
      <c r="H39" s="222"/>
      <c r="J39" s="71" t="s">
        <v>1840</v>
      </c>
      <c r="K39" s="315">
        <v>2508480.92</v>
      </c>
      <c r="L39" s="315"/>
      <c r="M39" s="315"/>
      <c r="N39" s="315"/>
      <c r="O39" s="315"/>
      <c r="P39" s="315"/>
      <c r="Q39" s="315"/>
    </row>
    <row r="40" spans="1:17" x14ac:dyDescent="0.2">
      <c r="A40" t="str" cm="1">
        <f t="array" ref="A40">IFERROR(INDEX('School Tables'!$W$4:$AC$120,'School Tables'!$AF4,3),"")</f>
        <v>Winnacunnet High School</v>
      </c>
      <c r="B40" s="229">
        <f>IFERROR(VLOOKUP(A40,'School Tables'!$Y$4:$Z$120,2,FALSE),"")</f>
        <v>20780</v>
      </c>
      <c r="C40" s="222" t="str">
        <f>IFERROR(INDEX('School Tables'!$X$4:$X$120,MATCH('School Level Expenditures'!A40,'School Tables'!$Y$4:$Y$120,0)),"")</f>
        <v>Winnacunnet Cooperative</v>
      </c>
      <c r="D40" s="219">
        <f>28668892.88-D39-0.29</f>
        <v>26160411.670000002</v>
      </c>
      <c r="E40" s="219">
        <v>1413455.31</v>
      </c>
      <c r="F40" s="231">
        <f t="shared" si="10"/>
        <v>27573866.98</v>
      </c>
      <c r="G40" s="222"/>
      <c r="H40" s="222"/>
      <c r="J40" t="str">
        <f>A40</f>
        <v>Winnacunnet High School</v>
      </c>
      <c r="K40" s="20">
        <f>18911338.06-K39-0.29</f>
        <v>16402856.85</v>
      </c>
      <c r="L40" s="20">
        <v>1889871.42</v>
      </c>
      <c r="M40" s="307">
        <v>1885765.33</v>
      </c>
      <c r="N40" s="20">
        <v>1511360.32</v>
      </c>
      <c r="O40" s="20">
        <v>10433000.470000001</v>
      </c>
      <c r="P40" s="20">
        <v>398311.97</v>
      </c>
      <c r="Q40" s="20">
        <v>18860.29</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28668892.590000004</v>
      </c>
      <c r="E45" s="262">
        <f>SUM(E39:E44)</f>
        <v>1413455.31</v>
      </c>
      <c r="K45" s="262">
        <f t="shared" ref="K45:Q45" si="11">SUM(K39:K44)</f>
        <v>18911337.77</v>
      </c>
      <c r="L45" s="262">
        <f t="shared" si="11"/>
        <v>1889871.42</v>
      </c>
      <c r="M45" s="262">
        <f t="shared" si="11"/>
        <v>1885765.33</v>
      </c>
      <c r="N45" s="262">
        <f t="shared" si="11"/>
        <v>1511360.32</v>
      </c>
      <c r="O45" s="262">
        <f t="shared" si="11"/>
        <v>10433000.470000001</v>
      </c>
      <c r="P45" s="262">
        <f t="shared" si="11"/>
        <v>398311.97</v>
      </c>
      <c r="Q45" s="262">
        <f t="shared" si="11"/>
        <v>18860.29</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55"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Winnacunnet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291224.18</v>
      </c>
      <c r="D8" s="73">
        <f>'DOE25'!G9</f>
        <v>200</v>
      </c>
      <c r="E8" s="73">
        <f>'DOE25'!H9</f>
        <v>0</v>
      </c>
      <c r="F8" s="73">
        <f>'DOE25'!I9</f>
        <v>0</v>
      </c>
      <c r="G8" s="73">
        <f>'DOE25'!J9</f>
        <v>0</v>
      </c>
      <c r="H8" s="13">
        <f>SUM(C8:G8)</f>
        <v>291424.18</v>
      </c>
      <c r="I8" s="90"/>
    </row>
    <row r="9" spans="1:9" x14ac:dyDescent="0.2">
      <c r="A9" s="1" t="s">
        <v>140</v>
      </c>
      <c r="B9" s="6">
        <v>110</v>
      </c>
      <c r="C9" s="73">
        <f>'DOE25'!F10</f>
        <v>0</v>
      </c>
      <c r="D9" s="73">
        <f>'DOE25'!G10</f>
        <v>0</v>
      </c>
      <c r="E9" s="73">
        <f>'DOE25'!H10</f>
        <v>0</v>
      </c>
      <c r="F9" s="73">
        <f>'DOE25'!I10</f>
        <v>0</v>
      </c>
      <c r="G9" s="73">
        <f>'DOE25'!J10</f>
        <v>872998.56</v>
      </c>
      <c r="H9" s="13">
        <f t="shared" ref="H9:H18" si="0">SUM(C9:G9)</f>
        <v>872998.56</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161116.35999999999</v>
      </c>
      <c r="D11" s="73">
        <f>'DOE25'!G12</f>
        <v>99599.13</v>
      </c>
      <c r="E11" s="73">
        <f>'DOE25'!H12</f>
        <v>0</v>
      </c>
      <c r="F11" s="73">
        <f>'DOE25'!I12</f>
        <v>0</v>
      </c>
      <c r="G11" s="73">
        <f>'DOE25'!J12</f>
        <v>0</v>
      </c>
      <c r="H11" s="13">
        <f t="shared" si="0"/>
        <v>260715.49</v>
      </c>
      <c r="I11" s="90"/>
    </row>
    <row r="12" spans="1:9" x14ac:dyDescent="0.2">
      <c r="A12" s="1" t="s">
        <v>143</v>
      </c>
      <c r="B12" s="6">
        <v>140</v>
      </c>
      <c r="C12" s="73">
        <f>'DOE25'!F13</f>
        <v>17241.93</v>
      </c>
      <c r="D12" s="73">
        <f>'DOE25'!G13</f>
        <v>0</v>
      </c>
      <c r="E12" s="73">
        <f>'DOE25'!H13</f>
        <v>175194.59</v>
      </c>
      <c r="F12" s="73">
        <f>'DOE25'!I13</f>
        <v>0</v>
      </c>
      <c r="G12" s="73">
        <f>'DOE25'!J13</f>
        <v>0</v>
      </c>
      <c r="H12" s="13">
        <f t="shared" si="0"/>
        <v>192436.52</v>
      </c>
      <c r="I12" s="90"/>
    </row>
    <row r="13" spans="1:9" x14ac:dyDescent="0.2">
      <c r="A13" s="1" t="s">
        <v>144</v>
      </c>
      <c r="B13" s="6">
        <v>150</v>
      </c>
      <c r="C13" s="73">
        <f>'DOE25'!F14</f>
        <v>6625.32</v>
      </c>
      <c r="D13" s="73">
        <f>'DOE25'!G14</f>
        <v>5000</v>
      </c>
      <c r="E13" s="73">
        <f>'DOE25'!H14</f>
        <v>0</v>
      </c>
      <c r="F13" s="73">
        <f>'DOE25'!I14</f>
        <v>0</v>
      </c>
      <c r="G13" s="73">
        <f>'DOE25'!J14</f>
        <v>0</v>
      </c>
      <c r="H13" s="13">
        <f t="shared" si="0"/>
        <v>11625.32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12529.86</v>
      </c>
      <c r="E15" s="73">
        <f>'DOE25'!H16</f>
        <v>0</v>
      </c>
      <c r="F15" s="73">
        <f>'DOE25'!I16</f>
        <v>0</v>
      </c>
      <c r="G15" s="23" t="s">
        <v>288</v>
      </c>
      <c r="H15" s="13">
        <f t="shared" si="0"/>
        <v>12529.86</v>
      </c>
      <c r="I15" s="90"/>
    </row>
    <row r="16" spans="1:9" x14ac:dyDescent="0.2">
      <c r="A16" s="1" t="s">
        <v>147</v>
      </c>
      <c r="B16" s="6">
        <v>180</v>
      </c>
      <c r="C16" s="73">
        <f>'DOE25'!F17</f>
        <v>83000</v>
      </c>
      <c r="D16" s="73">
        <f>'DOE25'!G17</f>
        <v>0</v>
      </c>
      <c r="E16" s="73">
        <f>'DOE25'!H17</f>
        <v>0</v>
      </c>
      <c r="F16" s="73">
        <f>'DOE25'!I17</f>
        <v>0</v>
      </c>
      <c r="G16" s="73">
        <f>'DOE25'!J17</f>
        <v>0</v>
      </c>
      <c r="H16" s="13">
        <f t="shared" si="0"/>
        <v>83000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559207.79</v>
      </c>
      <c r="D18" s="38">
        <f>SUM(D8:D17)</f>
        <v>117328.99</v>
      </c>
      <c r="E18" s="38">
        <f>SUM(E8:E17)</f>
        <v>175194.59</v>
      </c>
      <c r="F18" s="38">
        <f>SUM(F8:F17)</f>
        <v>0</v>
      </c>
      <c r="G18" s="38">
        <f>SUM(G8:G17)</f>
        <v>872998.56</v>
      </c>
      <c r="H18" s="38">
        <f t="shared" si="0"/>
        <v>1724729.9300000002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151330.44999999998</v>
      </c>
      <c r="F21" s="73">
        <f>'DOE25'!I22</f>
        <v>0</v>
      </c>
      <c r="G21" s="73">
        <f>'DOE25'!J22</f>
        <v>0</v>
      </c>
      <c r="H21" s="13">
        <f t="shared" ref="H21:H31" si="1">SUM(C21:G21)</f>
        <v>151330.44999999998</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121843.05</v>
      </c>
      <c r="D23" s="73">
        <f>'DOE25'!G24</f>
        <v>46.74</v>
      </c>
      <c r="E23" s="73">
        <f>'DOE25'!H24</f>
        <v>20951.939999999999</v>
      </c>
      <c r="F23" s="73">
        <f>'DOE25'!I24</f>
        <v>0</v>
      </c>
      <c r="G23" s="73">
        <f>'DOE25'!J24</f>
        <v>0</v>
      </c>
      <c r="H23" s="13">
        <f t="shared" si="1"/>
        <v>142841.73000000001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80322.77</v>
      </c>
      <c r="D27" s="73">
        <f>'DOE25'!G28</f>
        <v>0</v>
      </c>
      <c r="E27" s="73">
        <f>'DOE25'!H28</f>
        <v>2912.2</v>
      </c>
      <c r="F27" s="73">
        <f>'DOE25'!I28</f>
        <v>0</v>
      </c>
      <c r="G27" s="23" t="s">
        <v>288</v>
      </c>
      <c r="H27" s="13">
        <f t="shared" si="1"/>
        <v>83234.97</v>
      </c>
      <c r="I27" s="90"/>
    </row>
    <row r="28" spans="1:9" x14ac:dyDescent="0.2">
      <c r="A28" s="1" t="s">
        <v>157</v>
      </c>
      <c r="B28" s="6">
        <v>470</v>
      </c>
      <c r="C28" s="73">
        <f>'DOE25'!F29</f>
        <v>6008.52</v>
      </c>
      <c r="D28" s="73">
        <f>'DOE25'!G29</f>
        <v>0</v>
      </c>
      <c r="E28" s="73">
        <f>'DOE25'!H29</f>
        <v>0</v>
      </c>
      <c r="F28" s="73">
        <f>'DOE25'!I29</f>
        <v>0</v>
      </c>
      <c r="G28" s="23" t="s">
        <v>288</v>
      </c>
      <c r="H28" s="13">
        <f t="shared" si="1"/>
        <v>6008.52</v>
      </c>
      <c r="I28" s="90"/>
    </row>
    <row r="29" spans="1:9" x14ac:dyDescent="0.2">
      <c r="A29" s="1" t="s">
        <v>158</v>
      </c>
      <c r="B29" s="6">
        <v>480</v>
      </c>
      <c r="C29" s="73">
        <f>'DOE25'!F30</f>
        <v>11000</v>
      </c>
      <c r="D29" s="73">
        <f>'DOE25'!G30</f>
        <v>18534.87</v>
      </c>
      <c r="E29" s="73">
        <f>'DOE25'!H30</f>
        <v>0</v>
      </c>
      <c r="F29" s="73">
        <f>'DOE25'!I30</f>
        <v>0</v>
      </c>
      <c r="G29" s="23" t="s">
        <v>288</v>
      </c>
      <c r="H29" s="13">
        <f t="shared" si="1"/>
        <v>29534.87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219174.34</v>
      </c>
      <c r="D31" s="38">
        <f>SUM(D21:D30)</f>
        <v>18581.61</v>
      </c>
      <c r="E31" s="38">
        <f>SUM(E21:E30)</f>
        <v>175194.59</v>
      </c>
      <c r="F31" s="38">
        <f>SUM(F21:F30)</f>
        <v>0</v>
      </c>
      <c r="G31" s="38">
        <f>SUM(G21:G30)</f>
        <v>0</v>
      </c>
      <c r="H31" s="38">
        <f t="shared" si="1"/>
        <v>412950.54000000004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12529.86</v>
      </c>
      <c r="E34" s="73">
        <f>'DOE25'!H35</f>
        <v>0</v>
      </c>
      <c r="F34" s="73">
        <f>'DOE25'!I35</f>
        <v>0</v>
      </c>
      <c r="G34" s="23" t="s">
        <v>288</v>
      </c>
      <c r="H34" s="13">
        <f t="shared" ref="H34:H51" si="2">SUM(C34:G34)</f>
        <v>12529.86</v>
      </c>
      <c r="I34" s="90"/>
    </row>
    <row r="35" spans="1:9" x14ac:dyDescent="0.2">
      <c r="A35" s="1" t="s">
        <v>846</v>
      </c>
      <c r="B35" s="6">
        <v>752</v>
      </c>
      <c r="C35" s="73">
        <f>'DOE25'!F36</f>
        <v>83000</v>
      </c>
      <c r="D35" s="73">
        <f>'DOE25'!G36</f>
        <v>0</v>
      </c>
      <c r="E35" s="73">
        <f>'DOE25'!H36</f>
        <v>0</v>
      </c>
      <c r="F35" s="73">
        <f>'DOE25'!I36</f>
        <v>0</v>
      </c>
      <c r="G35" s="23" t="s">
        <v>288</v>
      </c>
      <c r="H35" s="13">
        <f t="shared" si="2"/>
        <v>83000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86217.52</v>
      </c>
      <c r="E39" s="23" t="s">
        <v>288</v>
      </c>
      <c r="F39" s="23" t="s">
        <v>288</v>
      </c>
      <c r="G39" s="23" t="s">
        <v>288</v>
      </c>
      <c r="H39" s="13">
        <f t="shared" si="2"/>
        <v>86217.52</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165253</v>
      </c>
      <c r="D45" s="23" t="s">
        <v>288</v>
      </c>
      <c r="E45" s="23" t="s">
        <v>288</v>
      </c>
      <c r="F45" s="23" t="s">
        <v>288</v>
      </c>
      <c r="G45" s="23" t="s">
        <v>288</v>
      </c>
      <c r="H45" s="13">
        <f t="shared" si="2"/>
        <v>165253</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5597.06</v>
      </c>
      <c r="D47" s="73">
        <f>'DOE25'!G48</f>
        <v>0</v>
      </c>
      <c r="E47" s="73">
        <f>'DOE25'!H48</f>
        <v>0</v>
      </c>
      <c r="F47" s="73">
        <f>'DOE25'!I48</f>
        <v>0</v>
      </c>
      <c r="G47" s="73">
        <f>'DOE25'!J48</f>
        <v>872998.56</v>
      </c>
      <c r="H47" s="13">
        <f t="shared" si="2"/>
        <v>878595.62000000011</v>
      </c>
      <c r="I47" s="90"/>
    </row>
    <row r="48" spans="1:9" x14ac:dyDescent="0.2">
      <c r="A48" s="1" t="s">
        <v>878</v>
      </c>
      <c r="B48" s="6">
        <v>753</v>
      </c>
      <c r="C48" s="73">
        <f>'DOE25'!F49</f>
        <v>86183.392999999996</v>
      </c>
      <c r="D48" s="73">
        <f>'DOE25'!G49</f>
        <v>0</v>
      </c>
      <c r="E48" s="73">
        <f>'DOE25'!H49</f>
        <v>0</v>
      </c>
      <c r="F48" s="73">
        <f>'DOE25'!I49</f>
        <v>0</v>
      </c>
      <c r="G48" s="73">
        <f>'DOE25'!J49</f>
        <v>0</v>
      </c>
      <c r="H48" s="13">
        <f t="shared" si="2"/>
        <v>86183.392999999996</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340033.45299999998</v>
      </c>
      <c r="D50" s="38">
        <f>SUM(D34:D49)</f>
        <v>98747.38</v>
      </c>
      <c r="E50" s="38">
        <f>SUM(E34:E49)</f>
        <v>0</v>
      </c>
      <c r="F50" s="38">
        <f>SUM(F34:F49)</f>
        <v>0</v>
      </c>
      <c r="G50" s="38">
        <f>SUM(G34:G49)</f>
        <v>872998.56</v>
      </c>
      <c r="H50" s="38">
        <f t="shared" si="2"/>
        <v>1311779.3930000002</v>
      </c>
      <c r="I50" s="90"/>
    </row>
    <row r="51" spans="1:9" ht="12" thickTop="1" x14ac:dyDescent="0.2">
      <c r="A51" s="35" t="s">
        <v>881</v>
      </c>
      <c r="B51" s="2"/>
      <c r="C51" s="38">
        <f>C50+C31</f>
        <v>559207.79299999995</v>
      </c>
      <c r="D51" s="38">
        <f>D50+D31</f>
        <v>117328.99</v>
      </c>
      <c r="E51" s="38">
        <f>E50+E31</f>
        <v>175194.59</v>
      </c>
      <c r="F51" s="38">
        <f>F50+F31</f>
        <v>0</v>
      </c>
      <c r="G51" s="38">
        <f>G50+G31</f>
        <v>872998.56</v>
      </c>
      <c r="H51" s="38">
        <f t="shared" si="2"/>
        <v>1724729.933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22494728</v>
      </c>
      <c r="D56" s="73">
        <f>'DOE25'!G60</f>
        <v>0</v>
      </c>
      <c r="E56" s="73">
        <f>'DOE25'!H60</f>
        <v>0</v>
      </c>
      <c r="F56" s="73">
        <f>'DOE25'!I60</f>
        <v>0</v>
      </c>
      <c r="G56" s="73">
        <f>'DOE25'!J60</f>
        <v>0</v>
      </c>
      <c r="H56" s="13">
        <f t="shared" ref="H56:H63" si="3">SUM(C56:G56)</f>
        <v>22494728</v>
      </c>
      <c r="I56"/>
    </row>
    <row r="57" spans="1:9" x14ac:dyDescent="0.2">
      <c r="A57" s="1" t="s">
        <v>164</v>
      </c>
      <c r="B57" s="6" t="s">
        <v>165</v>
      </c>
      <c r="C57" s="73">
        <f>'DOE25'!F79</f>
        <v>231142.54</v>
      </c>
      <c r="D57" s="23" t="s">
        <v>288</v>
      </c>
      <c r="E57" s="73">
        <f>'DOE25'!H79</f>
        <v>0</v>
      </c>
      <c r="F57" s="23" t="s">
        <v>288</v>
      </c>
      <c r="G57" s="23" t="s">
        <v>288</v>
      </c>
      <c r="H57" s="13">
        <f t="shared" si="3"/>
        <v>231142.54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67174.02</v>
      </c>
      <c r="D59" s="73">
        <f>'DOE25'!G96</f>
        <v>0</v>
      </c>
      <c r="E59" s="73">
        <f>'DOE25'!H96</f>
        <v>0</v>
      </c>
      <c r="F59" s="73">
        <f>'DOE25'!I96</f>
        <v>0</v>
      </c>
      <c r="G59" s="73">
        <f>'DOE25'!J96</f>
        <v>67987.58</v>
      </c>
      <c r="H59" s="13">
        <f t="shared" si="3"/>
        <v>135161.60000000001</v>
      </c>
      <c r="I59"/>
    </row>
    <row r="60" spans="1:9" x14ac:dyDescent="0.2">
      <c r="A60" s="1" t="s">
        <v>170</v>
      </c>
      <c r="B60" s="22" t="s">
        <v>171</v>
      </c>
      <c r="C60" s="23" t="s">
        <v>288</v>
      </c>
      <c r="D60" s="73">
        <f>'DOE25'!G97</f>
        <v>461628.37000000005</v>
      </c>
      <c r="E60" s="23" t="s">
        <v>288</v>
      </c>
      <c r="F60" s="23" t="s">
        <v>288</v>
      </c>
      <c r="G60" s="23" t="s">
        <v>288</v>
      </c>
      <c r="H60" s="13">
        <f t="shared" si="3"/>
        <v>461628.37000000005</v>
      </c>
      <c r="I60"/>
    </row>
    <row r="61" spans="1:9" ht="12" thickBot="1" x14ac:dyDescent="0.25">
      <c r="A61" s="1" t="s">
        <v>172</v>
      </c>
      <c r="B61" s="22" t="s">
        <v>173</v>
      </c>
      <c r="C61" s="73">
        <f>SUM('DOE25'!F98:F110)</f>
        <v>137043.54</v>
      </c>
      <c r="D61" s="73">
        <f>SUM('DOE25'!G98:G110)</f>
        <v>5000</v>
      </c>
      <c r="E61" s="73">
        <f>SUM('DOE25'!H98:H110)</f>
        <v>0</v>
      </c>
      <c r="F61" s="73">
        <f>SUM('DOE25'!I98:I110)</f>
        <v>0</v>
      </c>
      <c r="G61" s="73">
        <f>SUM('DOE25'!J98:J110)</f>
        <v>0</v>
      </c>
      <c r="H61" s="13">
        <f t="shared" si="3"/>
        <v>142043.54</v>
      </c>
      <c r="I61"/>
    </row>
    <row r="62" spans="1:9" ht="12.75" thickTop="1" thickBot="1" x14ac:dyDescent="0.25">
      <c r="A62" s="28" t="s">
        <v>174</v>
      </c>
      <c r="B62" s="6"/>
      <c r="C62" s="93">
        <f>SUM(C57:C61)</f>
        <v>435360.1</v>
      </c>
      <c r="D62" s="93">
        <f>SUM(D57:D61)</f>
        <v>466628.37000000005</v>
      </c>
      <c r="E62" s="93">
        <f>SUM(E57:E61)</f>
        <v>0</v>
      </c>
      <c r="F62" s="93">
        <f>SUM(F57:F61)</f>
        <v>0</v>
      </c>
      <c r="G62" s="93">
        <f>SUM(G57:G61)</f>
        <v>67987.58</v>
      </c>
      <c r="H62" s="13">
        <f t="shared" si="3"/>
        <v>969976.04999999993</v>
      </c>
      <c r="I62"/>
    </row>
    <row r="63" spans="1:9" ht="12" thickTop="1" x14ac:dyDescent="0.2">
      <c r="A63" s="28" t="s">
        <v>175</v>
      </c>
      <c r="B63" s="6"/>
      <c r="C63" s="21">
        <f>C56+C62</f>
        <v>22930088.100000001</v>
      </c>
      <c r="D63" s="21">
        <f>D56+D62</f>
        <v>466628.37000000005</v>
      </c>
      <c r="E63" s="21">
        <f>E56+E62</f>
        <v>0</v>
      </c>
      <c r="F63" s="21">
        <f>F56+F62</f>
        <v>0</v>
      </c>
      <c r="G63" s="21">
        <f>G56+G62</f>
        <v>67987.58</v>
      </c>
      <c r="H63" s="13">
        <f t="shared" si="3"/>
        <v>23464704.050000001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782974.3</v>
      </c>
      <c r="D66" s="23" t="s">
        <v>288</v>
      </c>
      <c r="E66" s="23" t="s">
        <v>288</v>
      </c>
      <c r="F66" s="23" t="s">
        <v>288</v>
      </c>
      <c r="G66" s="23" t="s">
        <v>288</v>
      </c>
      <c r="H66" s="13">
        <f t="shared" ref="H66:H81" si="4">SUM(C66:G66)</f>
        <v>782974.3</v>
      </c>
      <c r="I66"/>
    </row>
    <row r="67" spans="1:9" x14ac:dyDescent="0.2">
      <c r="A67" s="1" t="s">
        <v>767</v>
      </c>
      <c r="B67" s="6">
        <v>3112</v>
      </c>
      <c r="C67" s="73">
        <f>'DOE25'!F118</f>
        <v>4716891</v>
      </c>
      <c r="D67" s="23"/>
      <c r="E67" s="23"/>
      <c r="F67" s="23"/>
      <c r="G67" s="23"/>
      <c r="H67" s="13">
        <f t="shared" si="4"/>
        <v>4716891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5695.56</v>
      </c>
      <c r="D69" s="73">
        <f>'DOE25'!G120</f>
        <v>0</v>
      </c>
      <c r="E69" s="73">
        <f>'DOE25'!H120</f>
        <v>0</v>
      </c>
      <c r="F69" s="73">
        <f>'DOE25'!I120</f>
        <v>0</v>
      </c>
      <c r="G69" s="73">
        <f>'DOE25'!J120</f>
        <v>0</v>
      </c>
      <c r="H69" s="13">
        <f t="shared" si="4"/>
        <v>5695.56</v>
      </c>
      <c r="I69"/>
    </row>
    <row r="70" spans="1:9" ht="12" thickTop="1" x14ac:dyDescent="0.2">
      <c r="A70" s="28" t="s">
        <v>252</v>
      </c>
      <c r="B70" s="2"/>
      <c r="C70" s="97">
        <f>SUM(C66:C69)</f>
        <v>5505560.8599999994</v>
      </c>
      <c r="D70" s="97">
        <f>D69</f>
        <v>0</v>
      </c>
      <c r="E70" s="97">
        <f>E69</f>
        <v>0</v>
      </c>
      <c r="F70" s="97">
        <f>F69</f>
        <v>0</v>
      </c>
      <c r="G70" s="97">
        <f>G69</f>
        <v>0</v>
      </c>
      <c r="H70" s="13">
        <f t="shared" si="4"/>
        <v>5505560.8599999994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992339.18</v>
      </c>
      <c r="D72" s="23" t="s">
        <v>288</v>
      </c>
      <c r="E72" s="23" t="s">
        <v>288</v>
      </c>
      <c r="F72" s="73">
        <f>'DOE25'!I123</f>
        <v>0</v>
      </c>
      <c r="G72" s="23" t="s">
        <v>288</v>
      </c>
      <c r="H72" s="13">
        <f t="shared" si="4"/>
        <v>992339.18</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641994.98</v>
      </c>
      <c r="D75" s="23" t="s">
        <v>288</v>
      </c>
      <c r="E75" s="23" t="s">
        <v>288</v>
      </c>
      <c r="F75" s="23" t="s">
        <v>288</v>
      </c>
      <c r="G75" s="23" t="s">
        <v>288</v>
      </c>
      <c r="H75" s="13">
        <f t="shared" si="4"/>
        <v>641994.98</v>
      </c>
      <c r="I75"/>
    </row>
    <row r="76" spans="1:9" x14ac:dyDescent="0.2">
      <c r="A76" s="1" t="s">
        <v>257</v>
      </c>
      <c r="B76" s="6" t="s">
        <v>179</v>
      </c>
      <c r="C76" s="73">
        <f>SUM('DOE25'!F127:F130)</f>
        <v>13756.4</v>
      </c>
      <c r="D76" s="23" t="s">
        <v>288</v>
      </c>
      <c r="E76" s="73">
        <f>SUM('DOE25'!H127:H130)</f>
        <v>0</v>
      </c>
      <c r="F76" s="73">
        <f>SUM('DOE25'!I127:I130)</f>
        <v>0</v>
      </c>
      <c r="G76" s="23" t="s">
        <v>288</v>
      </c>
      <c r="H76" s="13">
        <f t="shared" si="4"/>
        <v>13756.4</v>
      </c>
      <c r="I76"/>
    </row>
    <row r="77" spans="1:9" ht="12" thickBot="1" x14ac:dyDescent="0.25">
      <c r="A77" s="1" t="s">
        <v>258</v>
      </c>
      <c r="B77" s="6" t="s">
        <v>180</v>
      </c>
      <c r="C77" s="73">
        <f>SUM('DOE25'!F131:F135)</f>
        <v>0</v>
      </c>
      <c r="D77" s="73">
        <f>SUM('DOE25'!G131:G135)</f>
        <v>5070.8599999999997</v>
      </c>
      <c r="E77" s="73">
        <f>SUM('DOE25'!H131:H135)</f>
        <v>0</v>
      </c>
      <c r="F77" s="73">
        <f>SUM('DOE25'!I131:I135)</f>
        <v>0</v>
      </c>
      <c r="G77" s="73">
        <f>SUM('DOE25'!J131:J135)</f>
        <v>0</v>
      </c>
      <c r="H77" s="13">
        <f t="shared" si="4"/>
        <v>5070.8599999999997</v>
      </c>
      <c r="I77"/>
    </row>
    <row r="78" spans="1:9" ht="12.75" thickTop="1" thickBot="1" x14ac:dyDescent="0.25">
      <c r="A78" s="28" t="s">
        <v>259</v>
      </c>
      <c r="B78" s="6"/>
      <c r="C78" s="93">
        <f>SUM(C72:C77)</f>
        <v>1648090.56</v>
      </c>
      <c r="D78" s="93">
        <f>SUM(D72:D77)</f>
        <v>5070.8599999999997</v>
      </c>
      <c r="E78" s="93">
        <f>SUM(E72:E77)</f>
        <v>0</v>
      </c>
      <c r="F78" s="93">
        <f>SUM(F72:F77)</f>
        <v>0</v>
      </c>
      <c r="G78" s="93">
        <f>SUM(G72:G77)</f>
        <v>0</v>
      </c>
      <c r="H78" s="13">
        <f t="shared" si="4"/>
        <v>1653161.4200000002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7153651.4199999999</v>
      </c>
      <c r="D81" s="93">
        <f>SUM(D79:D80)+D78+D70</f>
        <v>5070.8599999999997</v>
      </c>
      <c r="E81" s="93">
        <f>SUM(E79:E80)+E78+E70</f>
        <v>0</v>
      </c>
      <c r="F81" s="93">
        <f>SUM(F79:F80)+F78+F70</f>
        <v>0</v>
      </c>
      <c r="G81" s="93">
        <f>SUM(G79:G80)+G78+G70</f>
        <v>0</v>
      </c>
      <c r="H81" s="93">
        <f t="shared" si="4"/>
        <v>7158722.2800000003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100551.39</v>
      </c>
      <c r="D88" s="252">
        <f>SUM('DOE25'!G153:G162)</f>
        <v>144370.74</v>
      </c>
      <c r="E88" s="252">
        <f>SUM('DOE25'!H153:H162)</f>
        <v>1444533.56</v>
      </c>
      <c r="F88" s="252">
        <f>SUM('DOE25'!I153:I162)</f>
        <v>0</v>
      </c>
      <c r="G88" s="23" t="s">
        <v>288</v>
      </c>
      <c r="H88" s="13">
        <f t="shared" si="5"/>
        <v>1689455.69</v>
      </c>
    </row>
    <row r="89" spans="1:9" x14ac:dyDescent="0.2">
      <c r="A89" t="s">
        <v>745</v>
      </c>
      <c r="B89" s="31" t="s">
        <v>185</v>
      </c>
      <c r="C89" s="73">
        <f>'DOE25'!F164+'DOE25'!F167+'DOE25'!F169</f>
        <v>92332.5</v>
      </c>
      <c r="D89" s="73">
        <f>'DOE25'!G164+'DOE25'!G169</f>
        <v>27483.18</v>
      </c>
      <c r="E89" s="73">
        <f>'DOE25'!H164+'DOE25'!H169</f>
        <v>0</v>
      </c>
      <c r="F89" s="73">
        <f>'DOE25'!I164</f>
        <v>0</v>
      </c>
      <c r="G89" s="23" t="s">
        <v>288</v>
      </c>
      <c r="H89" s="13">
        <f t="shared" si="5"/>
        <v>119815.67999999999</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192883.89</v>
      </c>
      <c r="D91" s="94">
        <f>SUM(D85:D90)</f>
        <v>171853.91999999998</v>
      </c>
      <c r="E91" s="94">
        <f>SUM(E85:E90)</f>
        <v>1444533.56</v>
      </c>
      <c r="F91" s="94">
        <f>SUM(F85:F90)</f>
        <v>0</v>
      </c>
      <c r="G91" s="23" t="s">
        <v>288</v>
      </c>
      <c r="H91" s="13">
        <f t="shared" si="5"/>
        <v>1809271.37</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2291</v>
      </c>
      <c r="E96" s="73">
        <f>'DOE25'!H180</f>
        <v>0</v>
      </c>
      <c r="F96" s="73">
        <f>'DOE25'!I180</f>
        <v>0</v>
      </c>
      <c r="G96" s="73">
        <f>'DOE25'!J180</f>
        <v>0</v>
      </c>
      <c r="H96" s="13">
        <f t="shared" si="5"/>
        <v>2291</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113384</v>
      </c>
      <c r="D100" s="73">
        <f>SUM('DOE25'!G187:G188)</f>
        <v>0</v>
      </c>
      <c r="E100" s="73">
        <f>SUM('DOE25'!H187:H188)</f>
        <v>0</v>
      </c>
      <c r="F100" s="73">
        <f>SUM('DOE25'!I187:I188)</f>
        <v>0</v>
      </c>
      <c r="G100" s="23" t="s">
        <v>288</v>
      </c>
      <c r="H100" s="13">
        <f t="shared" si="5"/>
        <v>113384</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113384</v>
      </c>
      <c r="D103" s="68">
        <f>SUM(D93:D102)</f>
        <v>2291</v>
      </c>
      <c r="E103" s="68">
        <f>SUM(E93:E102)</f>
        <v>0</v>
      </c>
      <c r="F103" s="68">
        <f>SUM(F93:F102)</f>
        <v>0</v>
      </c>
      <c r="G103" s="68">
        <f>SUM(G93:G102)</f>
        <v>0</v>
      </c>
      <c r="H103" s="68">
        <f t="shared" si="5"/>
        <v>115675</v>
      </c>
    </row>
    <row r="104" spans="1:8" ht="12.75" thickTop="1" thickBot="1" x14ac:dyDescent="0.25">
      <c r="A104" s="32" t="s">
        <v>758</v>
      </c>
      <c r="C104" s="68">
        <f>C63+C81+C91+C103</f>
        <v>30390007.410000004</v>
      </c>
      <c r="D104" s="68">
        <f>D63+D81+D91+D103</f>
        <v>645844.15</v>
      </c>
      <c r="E104" s="68">
        <f>E63+E81+E91+E103</f>
        <v>1444533.56</v>
      </c>
      <c r="F104" s="68">
        <f>F63+F81+F91+F103</f>
        <v>0</v>
      </c>
      <c r="G104" s="68">
        <f>G63+G81+G103</f>
        <v>67987.58</v>
      </c>
      <c r="H104" s="68">
        <f t="shared" si="5"/>
        <v>32548372.699999999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11764428.9</v>
      </c>
      <c r="D109" s="23" t="s">
        <v>288</v>
      </c>
      <c r="E109" s="73">
        <f>('DOE25'!L277)+('DOE25'!L296)+('DOE25'!L315)</f>
        <v>147263.89000000001</v>
      </c>
      <c r="F109" s="23" t="s">
        <v>288</v>
      </c>
      <c r="G109" s="23" t="s">
        <v>288</v>
      </c>
      <c r="H109" s="13">
        <f t="shared" ref="H109:H115" si="6">SUM(C109:G109)</f>
        <v>11911692.790000001</v>
      </c>
    </row>
    <row r="110" spans="1:8" x14ac:dyDescent="0.2">
      <c r="A110" t="s">
        <v>198</v>
      </c>
      <c r="B110" s="31" t="s">
        <v>199</v>
      </c>
      <c r="C110" s="73">
        <f>('DOE25'!L199)+('DOE25'!L217)+('DOE25'!L235)</f>
        <v>5048438.59</v>
      </c>
      <c r="D110" s="23" t="s">
        <v>288</v>
      </c>
      <c r="E110" s="73">
        <f>('DOE25'!L278)+('DOE25'!L297)+('DOE25'!L316)</f>
        <v>336415.52</v>
      </c>
      <c r="F110" s="23" t="s">
        <v>288</v>
      </c>
      <c r="G110" s="23" t="s">
        <v>288</v>
      </c>
      <c r="H110" s="13">
        <f t="shared" si="6"/>
        <v>5384854.1099999994</v>
      </c>
    </row>
    <row r="111" spans="1:8" x14ac:dyDescent="0.2">
      <c r="A111" t="s">
        <v>200</v>
      </c>
      <c r="B111" s="31" t="s">
        <v>165</v>
      </c>
      <c r="C111" s="73">
        <f>('DOE25'!L200)+('DOE25'!L218)+('DOE25'!L236)</f>
        <v>308233.96000000002</v>
      </c>
      <c r="D111" s="23" t="s">
        <v>288</v>
      </c>
      <c r="E111" s="73">
        <f>('DOE25'!L279)+('DOE25'!L298)+('DOE25'!L317)</f>
        <v>0</v>
      </c>
      <c r="F111" s="23" t="s">
        <v>288</v>
      </c>
      <c r="G111" s="23" t="s">
        <v>288</v>
      </c>
      <c r="H111" s="13">
        <f t="shared" si="6"/>
        <v>308233.96000000002</v>
      </c>
    </row>
    <row r="112" spans="1:8" x14ac:dyDescent="0.2">
      <c r="A112" t="s">
        <v>201</v>
      </c>
      <c r="B112" s="31" t="s">
        <v>167</v>
      </c>
      <c r="C112" s="73">
        <f>('DOE25'!L201)+('DOE25'!L219)+('DOE25'!L237)</f>
        <v>1265051.4800000002</v>
      </c>
      <c r="D112" s="23" t="s">
        <v>288</v>
      </c>
      <c r="E112" s="73">
        <f>+('DOE25'!L280)+('DOE25'!L299)+('DOE25'!L318)</f>
        <v>41505.43</v>
      </c>
      <c r="F112" s="23" t="s">
        <v>288</v>
      </c>
      <c r="G112" s="23" t="s">
        <v>288</v>
      </c>
      <c r="H112" s="13">
        <f t="shared" si="6"/>
        <v>1306556.9100000001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139830.39999999999</v>
      </c>
      <c r="D114" s="23" t="s">
        <v>288</v>
      </c>
      <c r="E114" s="73">
        <f>+ SUM('DOE25'!L334:L336)</f>
        <v>30028.21</v>
      </c>
      <c r="F114" s="23" t="s">
        <v>288</v>
      </c>
      <c r="G114" s="23" t="s">
        <v>288</v>
      </c>
      <c r="H114" s="13">
        <f t="shared" si="6"/>
        <v>169858.61</v>
      </c>
    </row>
    <row r="115" spans="1:8" ht="12.75" thickTop="1" thickBot="1" x14ac:dyDescent="0.25">
      <c r="A115" s="32" t="s">
        <v>205</v>
      </c>
      <c r="C115" s="68">
        <f>SUM(C109:C114)</f>
        <v>18525983.330000002</v>
      </c>
      <c r="D115" s="68">
        <f>SUM(D109:D114)</f>
        <v>0</v>
      </c>
      <c r="E115" s="68">
        <f>SUM(E109:E114)</f>
        <v>555213.05000000005</v>
      </c>
      <c r="F115" s="68">
        <f>SUM(F109:F114)</f>
        <v>0</v>
      </c>
      <c r="G115" s="68">
        <f>SUM(G109:G114)</f>
        <v>0</v>
      </c>
      <c r="H115" s="68">
        <f t="shared" si="6"/>
        <v>19081196.380000003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1752380.21</v>
      </c>
      <c r="D118" s="23" t="s">
        <v>288</v>
      </c>
      <c r="E118" s="73">
        <f>+('DOE25'!L282)+('DOE25'!L301)+('DOE25'!L320)</f>
        <v>137491.21</v>
      </c>
      <c r="F118" s="23" t="s">
        <v>288</v>
      </c>
      <c r="G118" s="23" t="s">
        <v>288</v>
      </c>
      <c r="H118" s="13">
        <f t="shared" ref="H118:H145" si="7">SUM(C118:G118)</f>
        <v>1889871.42</v>
      </c>
    </row>
    <row r="119" spans="1:8" x14ac:dyDescent="0.2">
      <c r="A119" t="s">
        <v>208</v>
      </c>
      <c r="B119" s="31" t="s">
        <v>209</v>
      </c>
      <c r="C119" s="73">
        <f>('DOE25'!L204)+('DOE25'!L222)+('DOE25'!L240)</f>
        <v>1803443</v>
      </c>
      <c r="D119" s="23" t="s">
        <v>288</v>
      </c>
      <c r="E119" s="73">
        <f>+('DOE25'!L283)+('DOE25'!L302)+('DOE25'!L321)</f>
        <v>82322.33</v>
      </c>
      <c r="F119" s="23" t="s">
        <v>288</v>
      </c>
      <c r="G119" s="23" t="s">
        <v>288</v>
      </c>
      <c r="H119" s="13">
        <f t="shared" si="7"/>
        <v>1885765.33</v>
      </c>
    </row>
    <row r="120" spans="1:8" x14ac:dyDescent="0.2">
      <c r="A120" t="s">
        <v>210</v>
      </c>
      <c r="B120" s="31" t="s">
        <v>211</v>
      </c>
      <c r="C120" s="73">
        <f>('DOE25'!L205)+('DOE25'!L223)+('DOE25'!L241)</f>
        <v>1110942.42</v>
      </c>
      <c r="D120" s="23" t="s">
        <v>288</v>
      </c>
      <c r="E120" s="73">
        <f>+('DOE25'!L284)+('DOE25'!L303)+('DOE25'!L322)</f>
        <v>123209.52999999998</v>
      </c>
      <c r="F120" s="23" t="s">
        <v>288</v>
      </c>
      <c r="G120" s="23" t="s">
        <v>288</v>
      </c>
      <c r="H120" s="13">
        <f t="shared" si="7"/>
        <v>1234151.95</v>
      </c>
    </row>
    <row r="121" spans="1:8" x14ac:dyDescent="0.2">
      <c r="A121" t="s">
        <v>212</v>
      </c>
      <c r="B121" s="31" t="s">
        <v>213</v>
      </c>
      <c r="C121" s="73">
        <f>('DOE25'!L206)+('DOE25'!L224)+('DOE25'!L242)</f>
        <v>1511360.32</v>
      </c>
      <c r="D121" s="23" t="s">
        <v>288</v>
      </c>
      <c r="E121" s="73">
        <f>+('DOE25'!L285)+('DOE25'!L304)+('DOE25'!L323)</f>
        <v>0</v>
      </c>
      <c r="F121" s="23" t="s">
        <v>288</v>
      </c>
      <c r="G121" s="23" t="s">
        <v>288</v>
      </c>
      <c r="H121" s="13">
        <f t="shared" si="7"/>
        <v>1511360.32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2619463.56</v>
      </c>
      <c r="D123" s="23" t="s">
        <v>288</v>
      </c>
      <c r="E123" s="73">
        <f>+('DOE25'!L287)+('DOE25'!L306)+('DOE25'!L325)</f>
        <v>500880.06</v>
      </c>
      <c r="F123" s="23" t="s">
        <v>288</v>
      </c>
      <c r="G123" s="23" t="s">
        <v>288</v>
      </c>
      <c r="H123" s="13">
        <f t="shared" si="7"/>
        <v>3120343.62</v>
      </c>
    </row>
    <row r="124" spans="1:8" x14ac:dyDescent="0.2">
      <c r="A124" t="s">
        <v>218</v>
      </c>
      <c r="B124" s="31" t="s">
        <v>219</v>
      </c>
      <c r="C124" s="73">
        <f>('DOE25'!L209)+('DOE25'!L227)+('DOE25'!L245+'DOE25'!L255)</f>
        <v>1482677.5499999998</v>
      </c>
      <c r="D124" s="23" t="s">
        <v>288</v>
      </c>
      <c r="E124" s="73">
        <f>+('DOE25'!L288)+('DOE25'!L307)+('DOE25'!L326)</f>
        <v>44367.34</v>
      </c>
      <c r="F124" s="23" t="s">
        <v>288</v>
      </c>
      <c r="G124" s="23" t="s">
        <v>288</v>
      </c>
      <c r="H124" s="13">
        <f t="shared" si="7"/>
        <v>1527044.89</v>
      </c>
    </row>
    <row r="125" spans="1:8" x14ac:dyDescent="0.2">
      <c r="A125" t="s">
        <v>220</v>
      </c>
      <c r="B125" s="31" t="s">
        <v>221</v>
      </c>
      <c r="C125" s="73">
        <f>('DOE25'!L210)+('DOE25'!L228)+('DOE25'!L246)</f>
        <v>2472.6</v>
      </c>
      <c r="D125" s="23" t="s">
        <v>288</v>
      </c>
      <c r="E125" s="73">
        <f>+('DOE25'!L289)+('DOE25'!L308)+('DOE25'!L327)</f>
        <v>0</v>
      </c>
      <c r="F125" s="23" t="s">
        <v>288</v>
      </c>
      <c r="G125" s="23" t="s">
        <v>288</v>
      </c>
      <c r="H125" s="13">
        <f t="shared" si="7"/>
        <v>2472.6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763811.85000000009</v>
      </c>
      <c r="E127" s="23" t="s">
        <v>288</v>
      </c>
      <c r="F127" s="23" t="s">
        <v>288</v>
      </c>
      <c r="G127" s="23" t="s">
        <v>288</v>
      </c>
      <c r="H127" s="13">
        <f t="shared" si="7"/>
        <v>763811.85000000009</v>
      </c>
    </row>
    <row r="128" spans="1:8" ht="12.75" thickTop="1" thickBot="1" x14ac:dyDescent="0.25">
      <c r="A128" s="32" t="s">
        <v>226</v>
      </c>
      <c r="C128" s="68">
        <f>SUM(C118:C127)</f>
        <v>10282739.659999998</v>
      </c>
      <c r="D128" s="68">
        <f>SUM(D118:D127)</f>
        <v>763811.85000000009</v>
      </c>
      <c r="E128" s="68">
        <f>SUM(E118:E127)</f>
        <v>888270.46999999986</v>
      </c>
      <c r="F128" s="68">
        <f>SUM(F118:F127)</f>
        <v>0</v>
      </c>
      <c r="G128" s="68">
        <f>SUM(G118:G127)</f>
        <v>0</v>
      </c>
      <c r="H128" s="68">
        <f t="shared" si="7"/>
        <v>11934821.979999999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463688</v>
      </c>
      <c r="D130" s="23" t="s">
        <v>288</v>
      </c>
      <c r="E130" s="92">
        <f>'DOE25'!L337</f>
        <v>1050.04</v>
      </c>
      <c r="F130" s="92">
        <f>SUM('DOE25'!L375:'DOE25'!L381)</f>
        <v>0</v>
      </c>
      <c r="G130" s="23" t="s">
        <v>288</v>
      </c>
      <c r="H130" s="13">
        <f t="shared" si="7"/>
        <v>464738.04</v>
      </c>
    </row>
    <row r="131" spans="1:8" x14ac:dyDescent="0.2">
      <c r="A131" t="s">
        <v>229</v>
      </c>
      <c r="B131" s="31">
        <v>5110</v>
      </c>
      <c r="C131" s="73">
        <f>'DOE25'!L261</f>
        <v>1865000</v>
      </c>
      <c r="D131" s="23" t="s">
        <v>288</v>
      </c>
      <c r="E131" s="92">
        <f>'DOE25'!L342</f>
        <v>0</v>
      </c>
      <c r="F131" s="23" t="s">
        <v>288</v>
      </c>
      <c r="G131" s="23" t="s">
        <v>288</v>
      </c>
      <c r="H131" s="13">
        <f t="shared" si="7"/>
        <v>1865000</v>
      </c>
    </row>
    <row r="132" spans="1:8" x14ac:dyDescent="0.2">
      <c r="A132" t="s">
        <v>230</v>
      </c>
      <c r="B132" s="31">
        <v>5120</v>
      </c>
      <c r="C132" s="73">
        <f>'DOE25'!L262</f>
        <v>106439</v>
      </c>
      <c r="D132" s="23" t="s">
        <v>288</v>
      </c>
      <c r="E132" s="92">
        <f>'DOE25'!L343</f>
        <v>0</v>
      </c>
      <c r="F132" s="23" t="s">
        <v>288</v>
      </c>
      <c r="G132" s="23" t="s">
        <v>288</v>
      </c>
      <c r="H132" s="13">
        <f t="shared" si="7"/>
        <v>106439</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2291</v>
      </c>
      <c r="D135" s="23" t="s">
        <v>288</v>
      </c>
      <c r="E135" s="92">
        <f>'DOE25'!L346</f>
        <v>0</v>
      </c>
      <c r="F135" s="23" t="s">
        <v>288</v>
      </c>
      <c r="G135" s="23" t="s">
        <v>288</v>
      </c>
      <c r="H135" s="13">
        <f t="shared" si="7"/>
        <v>2291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67987.58</v>
      </c>
      <c r="D139" s="23" t="s">
        <v>288</v>
      </c>
      <c r="E139" s="23" t="s">
        <v>288</v>
      </c>
      <c r="F139" s="23" t="s">
        <v>288</v>
      </c>
      <c r="G139" s="23" t="s">
        <v>288</v>
      </c>
      <c r="H139" s="13">
        <f t="shared" si="7"/>
        <v>67987.58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-67987.58</v>
      </c>
      <c r="D141" s="23" t="s">
        <v>288</v>
      </c>
      <c r="E141" s="23" t="s">
        <v>288</v>
      </c>
      <c r="F141" s="23" t="s">
        <v>288</v>
      </c>
      <c r="G141" s="23" t="s">
        <v>288</v>
      </c>
      <c r="H141" s="13">
        <f t="shared" si="7"/>
        <v>-67987.58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2437418</v>
      </c>
      <c r="D144" s="98">
        <f>SUM(D130:D143)</f>
        <v>0</v>
      </c>
      <c r="E144" s="98">
        <f>SUM(E130:E143)</f>
        <v>1050.04</v>
      </c>
      <c r="F144" s="98">
        <f>SUM(F130:F143)</f>
        <v>0</v>
      </c>
      <c r="G144" s="98">
        <f>SUM(G130:G143)</f>
        <v>0</v>
      </c>
      <c r="H144" s="98">
        <f t="shared" si="7"/>
        <v>2438468.04</v>
      </c>
    </row>
    <row r="145" spans="1:9" ht="12.75" thickTop="1" thickBot="1" x14ac:dyDescent="0.25">
      <c r="A145" s="32" t="s">
        <v>244</v>
      </c>
      <c r="C145" s="68">
        <f>(C115+C128+C144)</f>
        <v>31246140.990000002</v>
      </c>
      <c r="D145" s="68">
        <f>(D115+D128+D144)</f>
        <v>763811.85000000009</v>
      </c>
      <c r="E145" s="68">
        <f>(E115+E128+E144)</f>
        <v>1444533.56</v>
      </c>
      <c r="F145" s="68">
        <f>(F115+F128+F144)</f>
        <v>0</v>
      </c>
      <c r="G145" s="68">
        <f>(G115+G128+G144)</f>
        <v>0</v>
      </c>
      <c r="H145" s="68">
        <f t="shared" si="7"/>
        <v>33454486.400000002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August 2004</v>
      </c>
      <c r="C152" s="109">
        <f>'DOE25'!G492</f>
        <v>0</v>
      </c>
      <c r="D152" s="109">
        <f>'DOE25'!H492</f>
        <v>0</v>
      </c>
      <c r="E152" s="109">
        <f>'DOE25'!I492</f>
        <v>0</v>
      </c>
      <c r="F152" s="109">
        <f>'DOE25'!J492</f>
        <v>0</v>
      </c>
      <c r="G152" s="23" t="s">
        <v>288</v>
      </c>
    </row>
    <row r="153" spans="1:9" x14ac:dyDescent="0.2">
      <c r="A153" s="21" t="s">
        <v>29</v>
      </c>
      <c r="B153" s="109" t="str">
        <f>'DOE25'!F493</f>
        <v>August 2024</v>
      </c>
      <c r="C153" s="109">
        <f>'DOE25'!G493</f>
        <v>0</v>
      </c>
      <c r="D153" s="109">
        <f>'DOE25'!H493</f>
        <v>0</v>
      </c>
      <c r="E153" s="109">
        <f>'DOE25'!I493</f>
        <v>0</v>
      </c>
      <c r="F153" s="109">
        <f>'DOE25'!J493</f>
        <v>0</v>
      </c>
      <c r="G153" s="23" t="s">
        <v>288</v>
      </c>
    </row>
    <row r="154" spans="1:9" x14ac:dyDescent="0.2">
      <c r="A154" s="21" t="s">
        <v>30</v>
      </c>
      <c r="B154" s="19">
        <f>'DOE25'!F494</f>
        <v>25484800</v>
      </c>
      <c r="C154" s="19">
        <f>'DOE25'!G494</f>
        <v>0</v>
      </c>
      <c r="D154" s="19">
        <f>'DOE25'!H494</f>
        <v>0</v>
      </c>
      <c r="E154" s="19">
        <f>'DOE25'!I494</f>
        <v>0</v>
      </c>
      <c r="F154" s="19">
        <f>'DOE25'!J494</f>
        <v>0</v>
      </c>
      <c r="G154" s="23" t="s">
        <v>288</v>
      </c>
    </row>
    <row r="155" spans="1:9" x14ac:dyDescent="0.2">
      <c r="A155" s="21" t="s">
        <v>31</v>
      </c>
      <c r="B155" s="19">
        <f>'DOE25'!F495</f>
        <v>4.54</v>
      </c>
      <c r="C155" s="19">
        <f>'DOE25'!G495</f>
        <v>0</v>
      </c>
      <c r="D155" s="19">
        <f>'DOE25'!H495</f>
        <v>0</v>
      </c>
      <c r="E155" s="19">
        <f>'DOE25'!I495</f>
        <v>0</v>
      </c>
      <c r="F155" s="19">
        <f>'DOE25'!J495</f>
        <v>0</v>
      </c>
      <c r="G155" s="23" t="s">
        <v>288</v>
      </c>
    </row>
    <row r="156" spans="1:9" x14ac:dyDescent="0.2">
      <c r="A156" s="21" t="s">
        <v>32</v>
      </c>
      <c r="B156" s="19">
        <f>'DOE25'!F496</f>
        <v>1865000</v>
      </c>
      <c r="C156" s="19">
        <f>'DOE25'!G496</f>
        <v>0</v>
      </c>
      <c r="D156" s="19">
        <f>'DOE25'!H496</f>
        <v>0</v>
      </c>
      <c r="E156" s="19">
        <f>'DOE25'!I496</f>
        <v>0</v>
      </c>
      <c r="F156" s="19">
        <f>'DOE25'!J496</f>
        <v>0</v>
      </c>
      <c r="G156" s="96">
        <f>SUM(B156:F156)</f>
        <v>1865000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1971439</v>
      </c>
      <c r="C158" s="19">
        <f>'DOE25'!G498</f>
        <v>0</v>
      </c>
      <c r="D158" s="19">
        <f>'DOE25'!H498</f>
        <v>0</v>
      </c>
      <c r="E158" s="19">
        <f>'DOE25'!I498</f>
        <v>0</v>
      </c>
      <c r="F158" s="19">
        <f>'DOE25'!J498</f>
        <v>0</v>
      </c>
      <c r="G158" s="96">
        <f t="shared" si="8"/>
        <v>1971439</v>
      </c>
    </row>
    <row r="159" spans="1:9" x14ac:dyDescent="0.2">
      <c r="A159" s="21" t="s">
        <v>35</v>
      </c>
      <c r="B159" s="19">
        <f>'DOE25'!F499</f>
        <v>1960000</v>
      </c>
      <c r="C159" s="19">
        <f>'DOE25'!G499</f>
        <v>0</v>
      </c>
      <c r="D159" s="19">
        <f>'DOE25'!H499</f>
        <v>0</v>
      </c>
      <c r="E159" s="19">
        <f>'DOE25'!I499</f>
        <v>0</v>
      </c>
      <c r="F159" s="19">
        <f>'DOE25'!J499</f>
        <v>0</v>
      </c>
      <c r="G159" s="96">
        <f t="shared" si="8"/>
        <v>1960000</v>
      </c>
    </row>
    <row r="160" spans="1:9" x14ac:dyDescent="0.2">
      <c r="A160" s="21" t="s">
        <v>36</v>
      </c>
      <c r="B160" s="19">
        <f>'DOE25'!F500</f>
        <v>18187</v>
      </c>
      <c r="C160" s="19">
        <f>'DOE25'!G500</f>
        <v>0</v>
      </c>
      <c r="D160" s="19">
        <f>'DOE25'!H500</f>
        <v>0</v>
      </c>
      <c r="E160" s="19">
        <f>'DOE25'!I500</f>
        <v>0</v>
      </c>
      <c r="F160" s="19">
        <f>'DOE25'!J500</f>
        <v>0</v>
      </c>
      <c r="G160" s="96">
        <f t="shared" si="8"/>
        <v>18187</v>
      </c>
    </row>
    <row r="161" spans="1:7" x14ac:dyDescent="0.2">
      <c r="A161" s="21" t="s">
        <v>37</v>
      </c>
      <c r="B161" s="19">
        <f>'DOE25'!F501</f>
        <v>1978187</v>
      </c>
      <c r="C161" s="19">
        <f>'DOE25'!G501</f>
        <v>0</v>
      </c>
      <c r="D161" s="19">
        <f>'DOE25'!H501</f>
        <v>0</v>
      </c>
      <c r="E161" s="19">
        <f>'DOE25'!I501</f>
        <v>0</v>
      </c>
      <c r="F161" s="19">
        <f>'DOE25'!J501</f>
        <v>0</v>
      </c>
      <c r="G161" s="96">
        <f t="shared" si="8"/>
        <v>1978187</v>
      </c>
    </row>
    <row r="162" spans="1:7" x14ac:dyDescent="0.2">
      <c r="A162" s="21" t="s">
        <v>38</v>
      </c>
      <c r="B162" s="19">
        <f>'DOE25'!F502</f>
        <v>1960000</v>
      </c>
      <c r="C162" s="19">
        <f>'DOE25'!G502</f>
        <v>0</v>
      </c>
      <c r="D162" s="19">
        <f>'DOE25'!H502</f>
        <v>0</v>
      </c>
      <c r="E162" s="19">
        <f>'DOE25'!I502</f>
        <v>0</v>
      </c>
      <c r="F162" s="19">
        <f>'DOE25'!J502</f>
        <v>0</v>
      </c>
      <c r="G162" s="96">
        <f t="shared" si="8"/>
        <v>1960000</v>
      </c>
    </row>
    <row r="163" spans="1:7" x14ac:dyDescent="0.2">
      <c r="A163" s="21" t="s">
        <v>39</v>
      </c>
      <c r="B163" s="19">
        <f>'DOE25'!F503</f>
        <v>18187</v>
      </c>
      <c r="C163" s="19">
        <f>'DOE25'!G503</f>
        <v>0</v>
      </c>
      <c r="D163" s="19">
        <f>'DOE25'!H503</f>
        <v>0</v>
      </c>
      <c r="E163" s="19">
        <f>'DOE25'!I503</f>
        <v>0</v>
      </c>
      <c r="F163" s="19">
        <f>'DOE25'!J503</f>
        <v>0</v>
      </c>
      <c r="G163" s="96">
        <f t="shared" si="8"/>
        <v>18187</v>
      </c>
    </row>
    <row r="164" spans="1:7" x14ac:dyDescent="0.2">
      <c r="A164" s="21" t="s">
        <v>246</v>
      </c>
      <c r="B164" s="19">
        <f>'DOE25'!F504</f>
        <v>1978187</v>
      </c>
      <c r="C164" s="19">
        <f>'DOE25'!G504</f>
        <v>0</v>
      </c>
      <c r="D164" s="19">
        <f>'DOE25'!H504</f>
        <v>0</v>
      </c>
      <c r="E164" s="19">
        <f>'DOE25'!I504</f>
        <v>0</v>
      </c>
      <c r="F164" s="19">
        <f>'DOE25'!J504</f>
        <v>0</v>
      </c>
      <c r="G164" s="96">
        <f t="shared" si="8"/>
        <v>1978187</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4" manualBreakCount="4">
    <brk id="53" max="16383" man="1"/>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Winnacunnet Cooperative</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26312</v>
      </c>
    </row>
    <row r="7" spans="1:4" x14ac:dyDescent="0.2">
      <c r="B7" t="s">
        <v>701</v>
      </c>
      <c r="C7" s="128">
        <f>IF('DOE25'!I666+'DOE25'!I671=0,0,ROUND('DOE25'!I673,0))</f>
        <v>26312</v>
      </c>
    </row>
    <row r="9" spans="1:4" x14ac:dyDescent="0.2">
      <c r="A9" s="135" t="s">
        <v>94</v>
      </c>
      <c r="B9" s="136" t="s">
        <v>1793</v>
      </c>
      <c r="C9" s="130" t="s">
        <v>720</v>
      </c>
      <c r="D9" s="130" t="s">
        <v>721</v>
      </c>
    </row>
    <row r="10" spans="1:4" x14ac:dyDescent="0.2">
      <c r="A10">
        <v>1100</v>
      </c>
      <c r="B10" t="s">
        <v>702</v>
      </c>
      <c r="C10" s="128">
        <f>ROUND('DOE25'!L198+'DOE25'!L216+'DOE25'!L234+'DOE25'!L277+'DOE25'!L296+'DOE25'!L315,0)</f>
        <v>11911693</v>
      </c>
      <c r="D10" s="131">
        <f>ROUND((C10/$C$28)*100,1)</f>
        <v>38.9</v>
      </c>
    </row>
    <row r="11" spans="1:4" x14ac:dyDescent="0.2">
      <c r="A11">
        <v>1200</v>
      </c>
      <c r="B11" t="s">
        <v>703</v>
      </c>
      <c r="C11" s="128">
        <f>ROUND('DOE25'!L199+'DOE25'!L217+'DOE25'!L235+'DOE25'!L278+'DOE25'!L297+'DOE25'!L316,0)</f>
        <v>5384854</v>
      </c>
      <c r="D11" s="131">
        <f>ROUND((C11/$C$28)*100,1)</f>
        <v>17.600000000000001</v>
      </c>
    </row>
    <row r="12" spans="1:4" x14ac:dyDescent="0.2">
      <c r="A12">
        <v>1300</v>
      </c>
      <c r="B12" t="s">
        <v>704</v>
      </c>
      <c r="C12" s="128">
        <f>ROUND('DOE25'!L200+'DOE25'!L218+'DOE25'!L236+'DOE25'!L279+'DOE25'!L298+'DOE25'!L317,0)</f>
        <v>308234</v>
      </c>
      <c r="D12" s="131">
        <f>ROUND((C12/$C$28)*100,1)</f>
        <v>1</v>
      </c>
    </row>
    <row r="13" spans="1:4" x14ac:dyDescent="0.2">
      <c r="A13">
        <v>1400</v>
      </c>
      <c r="B13" t="s">
        <v>705</v>
      </c>
      <c r="C13" s="128">
        <f>ROUND('DOE25'!L201+'DOE25'!L219+'DOE25'!L237+'DOE25'!L280+'DOE25'!L299+'DOE25'!L318,0)</f>
        <v>1306557</v>
      </c>
      <c r="D13" s="131">
        <f>ROUND((C13/$C$28)*100,1)</f>
        <v>4.3</v>
      </c>
    </row>
    <row r="14" spans="1:4" x14ac:dyDescent="0.2">
      <c r="D14" s="131"/>
    </row>
    <row r="15" spans="1:4" x14ac:dyDescent="0.2">
      <c r="A15">
        <v>2100</v>
      </c>
      <c r="B15" t="s">
        <v>706</v>
      </c>
      <c r="C15" s="128">
        <f>ROUND('DOE25'!L203+'DOE25'!L221+'DOE25'!L239+'DOE25'!L282+'DOE25'!L301+'DOE25'!L320,0)</f>
        <v>1889871</v>
      </c>
      <c r="D15" s="131">
        <f t="shared" ref="D15:D27" si="0">ROUND((C15/$C$28)*100,1)</f>
        <v>6.2</v>
      </c>
    </row>
    <row r="16" spans="1:4" x14ac:dyDescent="0.2">
      <c r="A16">
        <v>2200</v>
      </c>
      <c r="B16" t="s">
        <v>707</v>
      </c>
      <c r="C16" s="128">
        <f>ROUND('DOE25'!L204+'DOE25'!L222+'DOE25'!L240+'DOE25'!L283+'DOE25'!L302+'DOE25'!L321,0)</f>
        <v>1885765</v>
      </c>
      <c r="D16" s="131">
        <f t="shared" si="0"/>
        <v>6.2</v>
      </c>
    </row>
    <row r="17" spans="1:4" x14ac:dyDescent="0.2">
      <c r="A17" s="132" t="s">
        <v>723</v>
      </c>
      <c r="B17" t="s">
        <v>738</v>
      </c>
      <c r="C17" s="128">
        <f>ROUND('DOE25'!L205+'DOE25'!L210+'DOE25'!L223+'DOE25'!L228+'DOE25'!L241+'DOE25'!L246+'DOE25'!L284+'DOE25'!L289+'DOE25'!L303+'DOE25'!L308+'DOE25'!L322+'DOE25'!L327,0)</f>
        <v>1236625</v>
      </c>
      <c r="D17" s="131">
        <f t="shared" si="0"/>
        <v>4</v>
      </c>
    </row>
    <row r="18" spans="1:4" x14ac:dyDescent="0.2">
      <c r="A18">
        <v>2400</v>
      </c>
      <c r="B18" t="s">
        <v>711</v>
      </c>
      <c r="C18" s="128">
        <f>ROUND('DOE25'!L206+'DOE25'!L224+'DOE25'!L242+'DOE25'!L285+'DOE25'!L304+'DOE25'!L323,0)</f>
        <v>1511360</v>
      </c>
      <c r="D18" s="131">
        <f t="shared" si="0"/>
        <v>4.9000000000000004</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3120344</v>
      </c>
      <c r="D20" s="131">
        <f t="shared" si="0"/>
        <v>10.199999999999999</v>
      </c>
    </row>
    <row r="21" spans="1:4" x14ac:dyDescent="0.2">
      <c r="A21">
        <v>2700</v>
      </c>
      <c r="B21" t="s">
        <v>710</v>
      </c>
      <c r="C21" s="128">
        <f>ROUND('DOE25'!L209+'DOE25'!L227+'DOE25'!L245+'DOE25'!L288+'DOE25'!L307+'DOE25'!L326,0)</f>
        <v>1527045</v>
      </c>
      <c r="D21" s="131">
        <f t="shared" si="0"/>
        <v>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169859</v>
      </c>
      <c r="D24" s="131">
        <f t="shared" si="0"/>
        <v>0.6</v>
      </c>
    </row>
    <row r="25" spans="1:4" x14ac:dyDescent="0.2">
      <c r="A25">
        <v>5120</v>
      </c>
      <c r="B25" t="s">
        <v>716</v>
      </c>
      <c r="C25" s="128">
        <f>ROUND('DOE25'!L262+'DOE25'!L343,0)</f>
        <v>106439</v>
      </c>
      <c r="D25" s="131">
        <f t="shared" si="0"/>
        <v>0.3</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297183.62999999995</v>
      </c>
      <c r="D27" s="131">
        <f t="shared" si="0"/>
        <v>1</v>
      </c>
    </row>
    <row r="28" spans="1:4" x14ac:dyDescent="0.2">
      <c r="B28" s="135" t="s">
        <v>719</v>
      </c>
      <c r="C28" s="129">
        <f>SUM(C10:C27)</f>
        <v>30655829.629999999</v>
      </c>
      <c r="D28" s="133">
        <f>ROUND(SUM(D10:D27),0)</f>
        <v>100</v>
      </c>
    </row>
    <row r="29" spans="1:4" x14ac:dyDescent="0.2">
      <c r="A29">
        <v>4000</v>
      </c>
      <c r="B29" t="s">
        <v>724</v>
      </c>
      <c r="C29" s="128">
        <f>ROUND('DOE25'!L256+'DOE25'!L337+'DOE25'!L375+'DOE25'!L376+'DOE25'!L377+'DOE25'!L378+'DOE25'!L379+'DOE25'!L380+'DOE25'!L381,0)</f>
        <v>464738</v>
      </c>
    </row>
    <row r="30" spans="1:4" x14ac:dyDescent="0.2">
      <c r="B30" s="135" t="s">
        <v>725</v>
      </c>
      <c r="C30" s="129">
        <f>SUM(C28:C29)</f>
        <v>31120567.629999999</v>
      </c>
    </row>
    <row r="31" spans="1:4" x14ac:dyDescent="0.2">
      <c r="B31" s="32"/>
      <c r="C31" s="129"/>
    </row>
    <row r="32" spans="1:4" x14ac:dyDescent="0.2">
      <c r="A32">
        <v>5100</v>
      </c>
      <c r="B32" s="32" t="s">
        <v>726</v>
      </c>
      <c r="C32" s="129">
        <f>ROUND('DOE25'!L261+'DOE25'!L342,0)</f>
        <v>1865000</v>
      </c>
    </row>
    <row r="34" spans="1:4" x14ac:dyDescent="0.2">
      <c r="A34" s="135" t="s">
        <v>94</v>
      </c>
      <c r="B34" s="136" t="s">
        <v>1794</v>
      </c>
      <c r="C34" s="130" t="s">
        <v>720</v>
      </c>
      <c r="D34" s="130" t="s">
        <v>721</v>
      </c>
    </row>
    <row r="35" spans="1:4" x14ac:dyDescent="0.2">
      <c r="A35">
        <v>1100</v>
      </c>
      <c r="B35" s="71" t="s">
        <v>727</v>
      </c>
      <c r="C35" s="128">
        <f>ROUND('DOE25'!F60+'DOE25'!G60+'DOE25'!H60+'DOE25'!I60+'DOE25'!J60,0)</f>
        <v>22494728</v>
      </c>
      <c r="D35" s="131">
        <f t="shared" ref="D35:D40" si="1">ROUND((C35/$C$41)*100,1)</f>
        <v>70.400000000000006</v>
      </c>
    </row>
    <row r="36" spans="1:4" x14ac:dyDescent="0.2">
      <c r="B36" s="71" t="s">
        <v>739</v>
      </c>
      <c r="C36" s="128">
        <f>SUM('DOE25'!F112:J112)-SUM('DOE25'!G97:G110)+('DOE25'!F175+'DOE25'!F176+'DOE25'!I175+'DOE25'!I176)-C35</f>
        <v>503347.67999999598</v>
      </c>
      <c r="D36" s="131">
        <f t="shared" si="1"/>
        <v>1.6</v>
      </c>
    </row>
    <row r="37" spans="1:4" x14ac:dyDescent="0.2">
      <c r="A37" s="132" t="s">
        <v>831</v>
      </c>
      <c r="B37" s="71" t="s">
        <v>728</v>
      </c>
      <c r="C37" s="128">
        <f>ROUND('DOE25'!F117+'DOE25'!F118,0)</f>
        <v>5499865</v>
      </c>
      <c r="D37" s="131">
        <f t="shared" si="1"/>
        <v>17.2</v>
      </c>
    </row>
    <row r="38" spans="1:4" x14ac:dyDescent="0.2">
      <c r="A38" s="132" t="s">
        <v>734</v>
      </c>
      <c r="B38" s="71" t="s">
        <v>729</v>
      </c>
      <c r="C38" s="128">
        <f>ROUND(SUM('DOE25'!F140:J140)-SUM('DOE25'!F117:F119),0)</f>
        <v>1658857</v>
      </c>
      <c r="D38" s="131">
        <f t="shared" si="1"/>
        <v>5.2</v>
      </c>
    </row>
    <row r="39" spans="1:4" x14ac:dyDescent="0.2">
      <c r="A39">
        <v>4000</v>
      </c>
      <c r="B39" s="71" t="s">
        <v>730</v>
      </c>
      <c r="C39" s="128">
        <f>ROUND('DOE25'!F170+'DOE25'!G170+'DOE25'!H170+'DOE25'!I170,0)</f>
        <v>1809271</v>
      </c>
      <c r="D39" s="131">
        <f t="shared" si="1"/>
        <v>5.7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31966068.679999996</v>
      </c>
      <c r="D41" s="133">
        <f>SUM(D35:D40)</f>
        <v>100.10000000000001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5" sqref="A5"/>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Winnacunnet Cooperative</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v>1</v>
      </c>
      <c r="B4" s="149">
        <v>32</v>
      </c>
      <c r="C4" s="332" t="s">
        <v>1843</v>
      </c>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IFERROR(SMALL($I$4:$I$385,ROWS($I$4:I4)),"")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98</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f>IF('School Level Expenditures'!$B$2='School Tables'!W101,'School Tables'!AD101,"")</f>
        <v>98</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2024-09-05T19:35:01Z</cp:lastPrinted>
  <dcterms:created xsi:type="dcterms:W3CDTF">1997-12-04T19:04:30Z</dcterms:created>
  <dcterms:modified xsi:type="dcterms:W3CDTF">2024-12-20T19:37:23Z</dcterms:modified>
</cp:coreProperties>
</file>