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D5E7573B-4359-4D50-A7F1-5E0F14454EEF}"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8" i="14" l="1"/>
  <c r="P7" i="14"/>
  <c r="P6" i="14"/>
  <c r="O8" i="14"/>
  <c r="O7" i="14"/>
  <c r="O6" i="14"/>
  <c r="N6" i="14"/>
  <c r="N8" i="14"/>
  <c r="N7" i="14"/>
  <c r="M8" i="14"/>
  <c r="M7" i="14"/>
  <c r="M6" i="14"/>
  <c r="L8" i="14"/>
  <c r="L7" i="14"/>
  <c r="L6" i="14"/>
  <c r="K7" i="14"/>
  <c r="K8" i="14"/>
  <c r="K6" i="14"/>
  <c r="E27" i="14"/>
  <c r="E7" i="14"/>
  <c r="E6" i="14"/>
  <c r="D8" i="14"/>
  <c r="D7" i="14"/>
  <c r="D6" i="14"/>
  <c r="D27" i="14"/>
  <c r="K40" i="14" l="1"/>
  <c r="Q6" i="14"/>
  <c r="Q7" i="14"/>
  <c r="Q8" i="14"/>
  <c r="Q27" i="14"/>
  <c r="Q40" i="14"/>
  <c r="J592" i="1" l="1"/>
  <c r="J595" i="1"/>
  <c r="H583" i="1"/>
  <c r="I12" i="1" l="1"/>
  <c r="G523" i="1" l="1"/>
  <c r="F523" i="1"/>
  <c r="H529" i="1"/>
  <c r="H528" i="1"/>
  <c r="H527" i="1"/>
  <c r="J524" i="1"/>
  <c r="I524" i="1"/>
  <c r="G524" i="1"/>
  <c r="F524" i="1"/>
  <c r="I523" i="1"/>
  <c r="I522" i="1"/>
  <c r="G522" i="1"/>
  <c r="F522" i="1"/>
  <c r="I529" i="1"/>
  <c r="I528" i="1"/>
  <c r="I527" i="1"/>
  <c r="G529" i="1"/>
  <c r="G528" i="1"/>
  <c r="G527" i="1"/>
  <c r="F529" i="1"/>
  <c r="F528" i="1"/>
  <c r="F527" i="1"/>
  <c r="J523" i="1"/>
  <c r="J522" i="1"/>
  <c r="K524" i="1"/>
  <c r="K523" i="1"/>
  <c r="K522" i="1"/>
  <c r="G534" i="1"/>
  <c r="G533" i="1"/>
  <c r="G532" i="1"/>
  <c r="F534" i="1"/>
  <c r="F533" i="1"/>
  <c r="F532" i="1"/>
  <c r="O40" i="14" l="1"/>
  <c r="C21" i="12"/>
  <c r="B21" i="12"/>
  <c r="H245" i="1"/>
  <c r="H227" i="1"/>
  <c r="H209" i="1"/>
  <c r="O27" i="14"/>
  <c r="K27" i="14" l="1"/>
  <c r="I199" i="1"/>
  <c r="I235" i="1"/>
  <c r="G199" i="1"/>
  <c r="G235" i="1"/>
  <c r="F199" i="1"/>
  <c r="F235" i="1"/>
  <c r="F31" i="13"/>
  <c r="F15" i="13"/>
  <c r="F14" i="13"/>
  <c r="F13" i="13"/>
  <c r="F5" i="13"/>
  <c r="F6" i="13"/>
  <c r="J596" i="1"/>
  <c r="I596" i="1"/>
  <c r="H592" i="1"/>
  <c r="I592" i="1"/>
  <c r="F612" i="1"/>
  <c r="G614" i="1"/>
  <c r="F614" i="1"/>
  <c r="G613" i="1"/>
  <c r="F613" i="1"/>
  <c r="G612" i="1"/>
  <c r="I612" i="1"/>
  <c r="I605" i="1"/>
  <c r="J605" i="1"/>
  <c r="H605" i="1"/>
  <c r="H596" i="1"/>
  <c r="I595" i="1"/>
  <c r="F499" i="1"/>
  <c r="F502" i="1" s="1"/>
  <c r="F243" i="1"/>
  <c r="H241" i="1"/>
  <c r="G241" i="1"/>
  <c r="F241" i="1"/>
  <c r="H223" i="1"/>
  <c r="G223" i="1"/>
  <c r="F223" i="1"/>
  <c r="H205" i="1"/>
  <c r="G205" i="1"/>
  <c r="F205" i="1"/>
  <c r="G240" i="1"/>
  <c r="G222" i="1"/>
  <c r="G204" i="1"/>
  <c r="J239" i="1"/>
  <c r="I239" i="1"/>
  <c r="H239" i="1"/>
  <c r="G239" i="1"/>
  <c r="F239" i="1"/>
  <c r="J221" i="1"/>
  <c r="I221" i="1"/>
  <c r="H221" i="1"/>
  <c r="G221" i="1"/>
  <c r="F221" i="1"/>
  <c r="J203" i="1"/>
  <c r="I203" i="1"/>
  <c r="H203" i="1"/>
  <c r="G203" i="1"/>
  <c r="F203" i="1"/>
  <c r="K235" i="1"/>
  <c r="H235" i="1"/>
  <c r="K217" i="1"/>
  <c r="I217" i="1"/>
  <c r="H217" i="1"/>
  <c r="G217" i="1"/>
  <c r="F217" i="1"/>
  <c r="K199" i="1"/>
  <c r="H199" i="1"/>
  <c r="C37" i="12" l="1"/>
  <c r="C39" i="12"/>
  <c r="B37" i="12"/>
  <c r="B19" i="12"/>
  <c r="B20" i="12"/>
  <c r="C12" i="12"/>
  <c r="C11" i="12"/>
  <c r="C10" i="12"/>
  <c r="B11" i="12"/>
  <c r="B12" i="12"/>
  <c r="B10" i="12"/>
  <c r="H256" i="1" l="1"/>
  <c r="H244" i="1" l="1"/>
  <c r="H226" i="1"/>
  <c r="K244" i="1"/>
  <c r="J244" i="1"/>
  <c r="I244" i="1"/>
  <c r="G244" i="1"/>
  <c r="H208" i="1"/>
  <c r="F244" i="1"/>
  <c r="K226" i="1"/>
  <c r="J226" i="1"/>
  <c r="I226" i="1"/>
  <c r="G226" i="1"/>
  <c r="F226" i="1"/>
  <c r="K208" i="1"/>
  <c r="J208" i="1"/>
  <c r="I208" i="1"/>
  <c r="G208" i="1"/>
  <c r="F208" i="1"/>
  <c r="H240" i="1"/>
  <c r="H222" i="1"/>
  <c r="H204" i="1"/>
  <c r="G243" i="1"/>
  <c r="F234" i="1"/>
  <c r="G242" i="1"/>
  <c r="F242" i="1"/>
  <c r="G224" i="1"/>
  <c r="F224" i="1"/>
  <c r="G206" i="1"/>
  <c r="F206" i="1"/>
  <c r="G198" i="1"/>
  <c r="G234" i="1" l="1"/>
  <c r="G216" i="1"/>
  <c r="F216" i="1"/>
  <c r="F198" i="1"/>
  <c r="H243" i="1"/>
  <c r="H225" i="1"/>
  <c r="G225" i="1"/>
  <c r="F225" i="1"/>
  <c r="H207" i="1"/>
  <c r="G207" i="1"/>
  <c r="F207" i="1"/>
  <c r="K241" i="1"/>
  <c r="J241" i="1"/>
  <c r="I241" i="1"/>
  <c r="K223" i="1"/>
  <c r="J223" i="1"/>
  <c r="I223" i="1"/>
  <c r="K205" i="1"/>
  <c r="J205" i="1"/>
  <c r="I205" i="1"/>
  <c r="J242" i="1"/>
  <c r="K240" i="1"/>
  <c r="I240" i="1"/>
  <c r="F240" i="1"/>
  <c r="K222" i="1"/>
  <c r="I222" i="1"/>
  <c r="F222" i="1"/>
  <c r="K204" i="1"/>
  <c r="I204" i="1"/>
  <c r="F204" i="1"/>
  <c r="H198" i="1"/>
  <c r="G278" i="1"/>
  <c r="F278" i="1"/>
  <c r="G316" i="1"/>
  <c r="I278" i="1"/>
  <c r="G277" i="1"/>
  <c r="I316" i="1" l="1"/>
  <c r="K239" i="1"/>
  <c r="K237" i="1"/>
  <c r="H237" i="1"/>
  <c r="F102" i="1" l="1"/>
  <c r="F50" i="1"/>
  <c r="F9" i="1"/>
  <c r="H381" i="1" l="1"/>
  <c r="H377" i="1"/>
  <c r="E17" i="17" l="1"/>
  <c r="E9" i="17"/>
  <c r="F277" i="1"/>
  <c r="I315" i="1"/>
  <c r="H469" i="1"/>
  <c r="G296" i="1"/>
  <c r="F296" i="1"/>
  <c r="J315" i="1"/>
  <c r="G282" i="1"/>
  <c r="F282" i="1"/>
  <c r="G301" i="1"/>
  <c r="F301" i="1"/>
  <c r="H320" i="1"/>
  <c r="H301" i="1"/>
  <c r="G320" i="1"/>
  <c r="F320" i="1"/>
  <c r="I301" i="1"/>
  <c r="H283" i="1"/>
  <c r="H321" i="1"/>
  <c r="H302" i="1"/>
  <c r="G321" i="1"/>
  <c r="F321" i="1"/>
  <c r="G302" i="1"/>
  <c r="F302" i="1"/>
  <c r="G283" i="1"/>
  <c r="F283" i="1"/>
  <c r="G280" i="1"/>
  <c r="F280" i="1"/>
  <c r="G299" i="1"/>
  <c r="F299" i="1"/>
  <c r="I280" i="1"/>
  <c r="H316" i="1"/>
  <c r="H297" i="1"/>
  <c r="H278" i="1"/>
  <c r="I320" i="1"/>
  <c r="I282" i="1"/>
  <c r="H326" i="1"/>
  <c r="H307" i="1"/>
  <c r="H288" i="1"/>
  <c r="J296" i="1"/>
  <c r="J306" i="1"/>
  <c r="H325" i="1"/>
  <c r="H306" i="1"/>
  <c r="I296" i="1"/>
  <c r="I277" i="1"/>
  <c r="I283" i="1"/>
  <c r="K345" i="1"/>
  <c r="G297" i="1"/>
  <c r="F297" i="1"/>
  <c r="I321" i="1"/>
  <c r="I302" i="1"/>
  <c r="K317" i="1"/>
  <c r="G315" i="1"/>
  <c r="F315" i="1"/>
  <c r="H162" i="1"/>
  <c r="H159" i="1"/>
  <c r="F368" i="1" l="1"/>
  <c r="G368" i="1"/>
  <c r="H368" i="1"/>
  <c r="I359" i="1"/>
  <c r="I360" i="1"/>
  <c r="I361" i="1"/>
  <c r="G361" i="1"/>
  <c r="G360" i="1"/>
  <c r="G359" i="1"/>
  <c r="F361" i="1"/>
  <c r="F360" i="1"/>
  <c r="F359" i="1"/>
  <c r="G158" i="1"/>
  <c r="G110" i="1" l="1"/>
  <c r="G40" i="1"/>
  <c r="G9" i="1"/>
  <c r="G440" i="1"/>
  <c r="H401"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 i="14"/>
  <c r="G589" i="1"/>
  <c r="H589" i="1"/>
  <c r="F589" i="1"/>
  <c r="D39" i="14" l="1"/>
  <c r="K39" i="14"/>
  <c r="P2" i="14"/>
  <c r="O2" i="14"/>
  <c r="Q45" i="14"/>
  <c r="P45" i="14"/>
  <c r="O45" i="14"/>
  <c r="N45" i="14"/>
  <c r="M45" i="14"/>
  <c r="L45" i="14"/>
  <c r="K45" i="14"/>
  <c r="Q34" i="14"/>
  <c r="P34" i="14"/>
  <c r="O34" i="14"/>
  <c r="N34" i="14"/>
  <c r="M34" i="14"/>
  <c r="L34" i="14"/>
  <c r="K34" i="14"/>
  <c r="Q21" i="14"/>
  <c r="P21" i="14"/>
  <c r="O21" i="14"/>
  <c r="N21" i="14"/>
  <c r="M21" i="14"/>
  <c r="L21" i="14"/>
  <c r="K21" i="14"/>
  <c r="C2" i="1"/>
  <c r="B2" i="1"/>
  <c r="D40" i="14" l="1"/>
  <c r="I37" i="14"/>
  <c r="P3" i="14"/>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D45" i="14" l="1"/>
  <c r="E34" i="14"/>
  <c r="D34" i="14"/>
  <c r="E21" i="14"/>
  <c r="D21" i="14"/>
  <c r="G36" i="13" l="1"/>
  <c r="G29" i="13"/>
  <c r="B22" i="12" l="1"/>
  <c r="F88" i="2" l="1"/>
  <c r="E88" i="2"/>
  <c r="D88" i="2"/>
  <c r="C88" i="2"/>
  <c r="I163" i="1"/>
  <c r="H163" i="1"/>
  <c r="G163" i="1"/>
  <c r="F163" i="1"/>
  <c r="H88" i="2" l="1"/>
  <c r="B31" i="16"/>
  <c r="B27" i="16"/>
  <c r="B9" i="16"/>
  <c r="B5" i="16"/>
  <c r="F44" i="14" l="1"/>
  <c r="F41" i="14" l="1"/>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25" i="14" l="1"/>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E111" i="2" s="1"/>
  <c r="L299" i="1"/>
  <c r="E112" i="2" s="1"/>
  <c r="L301" i="1"/>
  <c r="L302" i="1"/>
  <c r="L303" i="1"/>
  <c r="L304" i="1"/>
  <c r="L305" i="1"/>
  <c r="L306" i="1"/>
  <c r="L307" i="1"/>
  <c r="G663" i="1" s="1"/>
  <c r="L308" i="1"/>
  <c r="E125" i="2" s="1"/>
  <c r="H125" i="2" s="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H28" i="2" s="1"/>
  <c r="D28" i="2"/>
  <c r="E28" i="2"/>
  <c r="F28" i="2"/>
  <c r="C29" i="2"/>
  <c r="D29" i="2"/>
  <c r="E29" i="2"/>
  <c r="H29" i="2" s="1"/>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C58" i="2"/>
  <c r="E58" i="2"/>
  <c r="C59" i="2"/>
  <c r="D59" i="2"/>
  <c r="E59" i="2"/>
  <c r="F59" i="2"/>
  <c r="D60" i="2"/>
  <c r="H60" i="2" s="1"/>
  <c r="C61" i="2"/>
  <c r="D61" i="2"/>
  <c r="E61" i="2"/>
  <c r="F61" i="2"/>
  <c r="C66" i="2"/>
  <c r="H66" i="2" s="1"/>
  <c r="C67" i="2"/>
  <c r="H67" i="2" s="1"/>
  <c r="C69" i="2"/>
  <c r="D69" i="2"/>
  <c r="D70" i="2" s="1"/>
  <c r="E69" i="2"/>
  <c r="E70" i="2" s="1"/>
  <c r="F69" i="2"/>
  <c r="F70" i="2" s="1"/>
  <c r="G69" i="2"/>
  <c r="C72" i="2"/>
  <c r="F72" i="2"/>
  <c r="C73" i="2"/>
  <c r="F73" i="2"/>
  <c r="C74" i="2"/>
  <c r="H74" i="2" s="1"/>
  <c r="C75" i="2"/>
  <c r="H75" i="2" s="1"/>
  <c r="C76" i="2"/>
  <c r="E76" i="2"/>
  <c r="F76" i="2"/>
  <c r="C77" i="2"/>
  <c r="D77" i="2"/>
  <c r="D78" i="2" s="1"/>
  <c r="E77" i="2"/>
  <c r="F77" i="2"/>
  <c r="G77" i="2"/>
  <c r="C79" i="2"/>
  <c r="D79" i="2"/>
  <c r="E79" i="2"/>
  <c r="C80" i="2"/>
  <c r="H80" i="2" s="1"/>
  <c r="E80" i="2"/>
  <c r="C85" i="2"/>
  <c r="C87" i="2"/>
  <c r="E87" i="2"/>
  <c r="F87" i="2"/>
  <c r="C89" i="2"/>
  <c r="D89" i="2"/>
  <c r="E89" i="2"/>
  <c r="F89" i="2"/>
  <c r="C90" i="2"/>
  <c r="H90" i="2" s="1"/>
  <c r="C93" i="2"/>
  <c r="F93" i="2"/>
  <c r="C94" i="2"/>
  <c r="F94" i="2"/>
  <c r="D96" i="2"/>
  <c r="E96" i="2"/>
  <c r="F96" i="2"/>
  <c r="G96" i="2"/>
  <c r="C97" i="2"/>
  <c r="D97" i="2"/>
  <c r="E97" i="2"/>
  <c r="F97" i="2"/>
  <c r="G97" i="2"/>
  <c r="H97" i="2" s="1"/>
  <c r="C98" i="2"/>
  <c r="D98" i="2"/>
  <c r="E98" i="2"/>
  <c r="G98" i="2"/>
  <c r="C99" i="2"/>
  <c r="D99" i="2"/>
  <c r="E99" i="2"/>
  <c r="F99" i="2"/>
  <c r="C100" i="2"/>
  <c r="D100" i="2"/>
  <c r="E100" i="2"/>
  <c r="F100" i="2"/>
  <c r="C101" i="2"/>
  <c r="D101" i="2"/>
  <c r="E101" i="2"/>
  <c r="F101" i="2"/>
  <c r="C102" i="2"/>
  <c r="D102" i="2"/>
  <c r="E102" i="2"/>
  <c r="F102" i="2"/>
  <c r="D115" i="2"/>
  <c r="F115" i="2"/>
  <c r="G115" i="2"/>
  <c r="C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6" i="1"/>
  <c r="H637" i="1"/>
  <c r="H638" i="1"/>
  <c r="H639" i="1"/>
  <c r="G644" i="1"/>
  <c r="G645" i="1"/>
  <c r="G652" i="1"/>
  <c r="H653" i="1"/>
  <c r="G654" i="1"/>
  <c r="H654" i="1"/>
  <c r="H655" i="1"/>
  <c r="H656" i="1"/>
  <c r="I170" i="1"/>
  <c r="H101" i="2" l="1"/>
  <c r="H99" i="2"/>
  <c r="H79" i="2"/>
  <c r="H76" i="2"/>
  <c r="H58" i="2"/>
  <c r="H16" i="2"/>
  <c r="H38" i="2"/>
  <c r="H43" i="2"/>
  <c r="H89" i="2"/>
  <c r="H72" i="2"/>
  <c r="H98" i="2"/>
  <c r="H93" i="2"/>
  <c r="H87" i="2"/>
  <c r="H22" i="2"/>
  <c r="H11" i="2"/>
  <c r="H143" i="2"/>
  <c r="H34" i="2"/>
  <c r="H96" i="2"/>
  <c r="H35" i="2"/>
  <c r="H13" i="2"/>
  <c r="H9" i="2"/>
  <c r="H57" i="2"/>
  <c r="H94" i="2"/>
  <c r="H27" i="2"/>
  <c r="H30" i="2"/>
  <c r="H17" i="2"/>
  <c r="D18" i="13"/>
  <c r="C18" i="13" s="1"/>
  <c r="H24" i="2"/>
  <c r="H102" i="2"/>
  <c r="H100" i="2"/>
  <c r="H73" i="2"/>
  <c r="H15" i="2"/>
  <c r="H36" i="2"/>
  <c r="H44" i="2"/>
  <c r="H48" i="2"/>
  <c r="J652" i="1"/>
  <c r="E13" i="13"/>
  <c r="C13" i="13" s="1"/>
  <c r="H132" i="2"/>
  <c r="C32" i="10"/>
  <c r="C120" i="2"/>
  <c r="C12" i="10"/>
  <c r="D15" i="13"/>
  <c r="C15" i="13" s="1"/>
  <c r="C112" i="2"/>
  <c r="H112" i="2" s="1"/>
  <c r="C119" i="2"/>
  <c r="H59" i="2"/>
  <c r="H23" i="2"/>
  <c r="H137" i="2"/>
  <c r="H8" i="2"/>
  <c r="C13" i="10"/>
  <c r="E124" i="2"/>
  <c r="K36" i="14"/>
  <c r="K37" i="14" s="1"/>
  <c r="K2" i="14"/>
  <c r="K3" i="14" s="1"/>
  <c r="E120" i="2"/>
  <c r="H12" i="2"/>
  <c r="G477" i="1"/>
  <c r="B33" i="16" s="1"/>
  <c r="G662" i="1"/>
  <c r="D29" i="13"/>
  <c r="C29" i="13" s="1"/>
  <c r="G646" i="1"/>
  <c r="J646" i="1" s="1"/>
  <c r="G78" i="2"/>
  <c r="H77" i="2"/>
  <c r="G70" i="2"/>
  <c r="H70" i="2" s="1"/>
  <c r="H69" i="2"/>
  <c r="G62" i="2"/>
  <c r="H6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40" i="14" s="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H42" i="2" l="1"/>
  <c r="H122" i="2"/>
  <c r="E45" i="14"/>
  <c r="F40" i="14"/>
  <c r="F38" i="14" s="1"/>
  <c r="H21" i="2"/>
  <c r="H85" i="2"/>
  <c r="H123" i="2"/>
  <c r="H120" i="2"/>
  <c r="E144" i="2"/>
  <c r="H124" i="2"/>
  <c r="H91" i="2"/>
  <c r="H78" i="2"/>
  <c r="C81" i="2"/>
  <c r="F194" i="1"/>
  <c r="G628" i="1" s="1"/>
  <c r="J628" i="1" s="1"/>
  <c r="H103" i="2"/>
  <c r="I663" i="1"/>
  <c r="E51" i="2"/>
  <c r="H18" i="2"/>
  <c r="H624" i="1"/>
  <c r="J624" i="1" s="1"/>
  <c r="I662" i="1"/>
  <c r="D128" i="2"/>
  <c r="D145" i="2" s="1"/>
  <c r="H127" i="2"/>
  <c r="H81" i="2"/>
  <c r="H62" i="2"/>
  <c r="H50" i="2"/>
  <c r="D51" i="2"/>
  <c r="H31" i="2"/>
  <c r="G144" i="2"/>
  <c r="G145" i="2" s="1"/>
  <c r="H134" i="2"/>
  <c r="G63"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L339" i="1"/>
  <c r="L353"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51" i="2"/>
  <c r="G634" i="1"/>
  <c r="H473" i="1"/>
  <c r="C144" i="2"/>
  <c r="H144" i="2" s="1"/>
  <c r="H141" i="2"/>
  <c r="G104" i="2"/>
  <c r="H104" i="2" s="1"/>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34" i="1"/>
  <c r="J634" i="1" s="1"/>
  <c r="H475" i="1"/>
  <c r="H477" i="1" s="1"/>
  <c r="H625" i="1" s="1"/>
  <c r="I670" i="1"/>
  <c r="I673" i="1" s="1"/>
  <c r="C7" i="10" s="1"/>
  <c r="F673" i="1"/>
  <c r="C4" i="10" s="1"/>
  <c r="I668" i="1"/>
  <c r="D28" i="10"/>
  <c r="D37" i="10"/>
  <c r="D36" i="10"/>
  <c r="D35" i="10"/>
  <c r="D40" i="10"/>
  <c r="D39" i="10"/>
  <c r="J625" i="1" l="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<sst xmlns="http://schemas.openxmlformats.org/spreadsheetml/2006/main" count="6643" uniqueCount="1845">
  <si>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</si>
  <si>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</si>
  <si>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</si>
  <si>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</si>
  <si>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</si>
  <si>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</si>
  <si>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</si>
  <si>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</si>
  <si>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</si>
  <si>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</si>
  <si>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</si>
  <si>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</si>
  <si>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</si>
  <si>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</si>
  <si>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</si>
  <si>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</si>
  <si>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</si>
  <si>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</si>
  <si>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</si>
  <si>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</si>
  <si>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</si>
  <si>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</si>
  <si>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</si>
  <si>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</si>
  <si>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</si>
  <si>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</si>
  <si>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</si>
  <si>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</si>
  <si>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</si>
  <si>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</si>
  <si>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</si>
  <si>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</si>
  <si>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</si>
  <si>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</si>
  <si>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</si>
  <si>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</si>
  <si>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</si>
  <si>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</si>
  <si>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</si>
  <si>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</si>
  <si>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</si>
  <si>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</si>
  <si>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</si>
  <si>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</si>
  <si>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</si>
  <si>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</si>
  <si>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</si>
  <si>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</si>
  <si>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</si>
  <si>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</si>
  <si>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</si>
  <si>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</si>
  <si>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</si>
  <si>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</si>
  <si>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</si>
  <si>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</si>
  <si>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</si>
  <si>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</si>
  <si>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</si>
  <si>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</si>
  <si>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</si>
  <si>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</si>
  <si>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</si>
  <si>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</si>
  <si>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</si>
  <si>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</si>
  <si>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</si>
  <si>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</si>
  <si>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</si>
  <si>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</si>
  <si>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</si>
  <si>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</si>
  <si>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</si>
  <si>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</si>
  <si>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</si>
  <si>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</si>
  <si>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</si>
  <si>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</si>
  <si>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</si>
  <si>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</si>
  <si>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</si>
  <si>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</si>
  <si>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</si>
  <si>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</si>
  <si>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</si>
  <si>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</si>
  <si>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</si>
  <si>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</si>
  <si>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</si>
  <si>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</si>
  <si>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</si>
  <si>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</si>
  <si>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</si>
  <si>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</si>
  <si>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</si>
  <si>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</si>
  <si>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</si>
  <si>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</si>
  <si>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</si>
  <si>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</si>
  <si>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</si>
  <si>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</si>
  <si>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</si>
  <si>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</si>
  <si>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</si>
  <si>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</si>
  <si>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</si>
  <si>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</si>
  <si>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</si>
  <si>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</si>
  <si>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</si>
  <si>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</si>
  <si>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</si>
  <si>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</si>
  <si>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</si>
  <si>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</si>
  <si>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</si>
  <si>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</si>
  <si>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</si>
  <si>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</si>
  <si>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</si>
  <si>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</si>
  <si>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</si>
  <si>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</si>
  <si>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</si>
  <si>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</si>
  <si>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</si>
  <si>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</si>
  <si>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</si>
  <si>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</si>
  <si>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</si>
  <si>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</si>
  <si>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</si>
  <si>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</si>
  <si>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</si>
  <si>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</si>
  <si>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</si>
  <si>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</si>
  <si>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</si>
  <si>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</si>
  <si>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</si>
  <si>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</si>
  <si>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</si>
  <si>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</si>
  <si>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</si>
  <si>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</si>
  <si>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</si>
  <si>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</si>
  <si>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</si>
  <si>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</si>
  <si>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</si>
  <si>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</si>
  <si>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</si>
  <si>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</si>
  <si>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</si>
  <si>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</si>
  <si>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</si>
  <si>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</si>
  <si>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</si>
  <si>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</si>
  <si>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</si>
  <si>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</si>
  <si>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</si>
  <si>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</si>
  <si>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</si>
  <si>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</si>
  <si>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</si>
  <si>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</si>
  <si>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</si>
  <si>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</si>
  <si>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</si>
  <si>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</si>
  <si>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</si>
  <si>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</si>
  <si>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</si>
  <si>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</si>
  <si>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</si>
  <si>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</si>
  <si>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</si>
  <si>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</si>
  <si>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</si>
  <si>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</si>
  <si>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</si>
  <si>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</si>
  <si>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</si>
  <si>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</si>
  <si>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</si>
  <si>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</si>
  <si>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</si>
  <si>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</si>
  <si>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</si>
  <si>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</si>
  <si>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</si>
  <si>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</si>
  <si>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</si>
  <si>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</si>
  <si>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</si>
  <si>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</si>
  <si>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</si>
  <si>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</si>
  <si>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</si>
  <si>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</si>
  <si>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</si>
  <si>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</si>
  <si>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</si>
  <si>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</si>
  <si>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</si>
  <si>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</si>
  <si>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</si>
  <si>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</si>
  <si>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</si>
  <si>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</si>
  <si>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</si>
  <si>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</si>
  <si>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</si>
  <si>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</si>
  <si>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</si>
  <si>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</si>
  <si>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</si>
  <si>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</si>
  <si>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</si>
  <si>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</si>
  <si>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</si>
  <si>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</si>
  <si>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</si>
  <si>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</si>
  <si>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</si>
  <si>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</si>
  <si>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</si>
  <si>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</si>
  <si>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</si>
  <si>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</si>
  <si>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</si>
  <si>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</si>
  <si>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</si>
  <si>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</si>
  <si>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</si>
  <si>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</si>
  <si>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</si>
  <si>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</si>
  <si>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</si>
  <si>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</si>
  <si>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</si>
  <si>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</si>
  <si>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</si>
  <si>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</si>
  <si>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</si>
  <si>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</si>
  <si>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</si>
  <si>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</si>
  <si>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</si>
  <si>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</si>
  <si>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</si>
  <si>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</si>
  <si>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</si>
  <si>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</si>
  <si>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</si>
  <si>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</si>
  <si>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</si>
  <si>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</si>
  <si>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</si>
  <si>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</si>
  <si>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</si>
  <si>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</si>
  <si>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</si>
  <si>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</si>
  <si>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</si>
  <si>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</si>
  <si>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</si>
  <si>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</si>
  <si>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</si>
  <si>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</si>
  <si>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</si>
  <si>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</si>
  <si>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</si>
  <si>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</si>
  <si>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</si>
  <si>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</si>
  <si>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</si>
  <si>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</si>
  <si>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</si>
  <si>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</si>
  <si>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</si>
  <si>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</si>
  <si>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</si>
  <si>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</si>
  <si>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</si>
  <si>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</si>
  <si>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</si>
  <si>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</si>
  <si>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</si>
  <si>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</si>
  <si>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</si>
  <si>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</si>
  <si>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</si>
  <si>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</si>
  <si>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</si>
  <si>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</si>
  <si>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</si>
  <si>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</si>
  <si>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</si>
  <si>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</si>
  <si>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</si>
  <si>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</si>
  <si>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</si>
  <si>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</si>
  <si>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</si>
  <si>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</si>
  <si>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</si>
  <si>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</si>
  <si>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</si>
  <si>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</si>
  <si>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</si>
  <si>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</si>
  <si>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</si>
  <si>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</si>
  <si>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</si>
  <si>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</si>
  <si>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</si>
  <si>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</si>
  <si>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</si>
  <si>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</si>
  <si>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</si>
  <si>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</si>
  <si>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</si>
  <si>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</si>
  <si>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</si>
  <si>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</si>
  <si>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</si>
  <si>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</si>
  <si>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</si>
  <si>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</si>
  <si>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</si>
  <si>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</si>
  <si>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</si>
  <si>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</si>
  <si>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</si>
  <si>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</si>
  <si>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</si>
  <si>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</si>
  <si>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</si>
  <si>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</si>
  <si>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</si>
  <si>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</si>
  <si>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</si>
  <si>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</si>
  <si>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</si>
  <si>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</si>
  <si>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</si>
  <si>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</si>
  <si>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</si>
  <si>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</si>
  <si>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</si>
  <si>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</si>
  <si>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</si>
  <si>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</si>
  <si>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</si>
  <si>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</si>
  <si>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</si>
  <si>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</si>
  <si>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</si>
  <si>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</si>
  <si>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</si>
  <si>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</si>
  <si>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</si>
  <si>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</si>
  <si>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</si>
  <si>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</si>
  <si>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</si>
  <si>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</si>
  <si>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</si>
  <si>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</si>
  <si>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</si>
  <si>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</si>
  <si>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</si>
  <si>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</si>
  <si>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</si>
  <si>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</si>
  <si>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</si>
  <si>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</si>
  <si>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</si>
  <si>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</si>
  <si>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</si>
  <si>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</si>
  <si>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</si>
  <si>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</si>
  <si>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</si>
  <si>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</si>
  <si>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</si>
  <si>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</si>
  <si>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</si>
  <si>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</si>
  <si>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</si>
  <si>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</si>
  <si>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</si>
  <si>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</si>
  <si>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</si>
  <si>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</si>
  <si>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</si>
  <si>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</si>
  <si>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</si>
  <si>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</si>
  <si>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</si>
  <si>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</si>
  <si>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</si>
  <si>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</si>
  <si>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</si>
  <si>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</si>
  <si>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</si>
  <si>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</si>
  <si>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</si>
  <si>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</si>
  <si>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</si>
  <si>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</si>
  <si>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</si>
  <si>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</si>
  <si>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</si>
  <si>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</si>
  <si>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</si>
  <si>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</si>
  <si>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</si>
  <si>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</si>
  <si>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</si>
  <si>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</si>
  <si>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</si>
  <si>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</si>
  <si>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</si>
  <si>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</si>
  <si>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</si>
  <si>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</si>
  <si>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</si>
  <si>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</si>
  <si>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</si>
  <si>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</si>
  <si>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</si>
  <si>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</si>
  <si>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</si>
  <si>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</si>
  <si>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</si>
  <si>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</si>
  <si>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</si>
  <si>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</si>
  <si>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</si>
  <si>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</si>
  <si>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</si>
  <si>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</si>
  <si>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</si>
  <si>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</si>
  <si>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</si>
  <si>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</si>
  <si>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</si>
  <si>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</si>
  <si>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</si>
  <si>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</si>
  <si>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</si>
  <si>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</si>
  <si>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</si>
  <si>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</si>
  <si>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</si>
  <si>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</si>
  <si>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</si>
  <si>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</si>
  <si>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</si>
  <si>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</si>
  <si>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</si>
  <si>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</si>
  <si>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</si>
  <si>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</si>
  <si>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</si>
  <si>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</si>
  <si>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</si>
  <si>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</si>
  <si>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</si>
  <si>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</si>
  <si>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</si>
  <si>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</si>
  <si>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</si>
  <si>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</si>
  <si>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</si>
  <si>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</si>
  <si>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</si>
  <si>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</si>
  <si>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</si>
  <si>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</si>
  <si>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</si>
  <si>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</si>
  <si>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</si>
  <si>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</si>
  <si>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</si>
  <si>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</si>
  <si>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</si>
  <si>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</si>
  <si>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</si>
  <si>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</si>
  <si>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</si>
  <si>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</si>
  <si>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</si>
  <si>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</si>
  <si>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</si>
  <si>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</si>
  <si>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</si>
  <si>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</si>
  <si>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</si>
  <si>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</si>
  <si>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</si>
  <si>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</si>
  <si>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</si>
  <si>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</si>
  <si>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</si>
  <si>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</si>
  <si>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</si>
  <si>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</si>
  <si>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</si>
  <si>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</si>
  <si>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</si>
  <si>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</si>
  <si>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</si>
  <si>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</si>
  <si>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</si>
  <si>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</si>
  <si>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</si>
  <si>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</si>
  <si>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</si>
  <si>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</si>
  <si>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</si>
  <si>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</si>
  <si>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</si>
  <si>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</si>
  <si>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</si>
  <si>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</si>
  <si>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</si>
  <si>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</si>
  <si>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</si>
  <si>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</si>
  <si>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</si>
  <si>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</si>
  <si>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</si>
  <si>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</si>
  <si>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</si>
  <si>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</si>
  <si>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</si>
  <si>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</si>
  <si>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</si>
  <si>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</si>
  <si>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</si>
  <si>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</si>
  <si>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</si>
  <si>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</si>
  <si>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</si>
  <si>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</si>
  <si>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</si>
  <si>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</si>
  <si>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</si>
  <si>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</si>
  <si>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</si>
  <si>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</si>
  <si>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</si>
  <si>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</si>
  <si>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</si>
  <si>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</si>
  <si>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</si>
  <si>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</si>
  <si>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</si>
  <si>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</si>
  <si>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</si>
  <si>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</si>
  <si>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</si>
  <si>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</si>
  <si>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</si>
  <si>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</si>
  <si>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</si>
  <si>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</si>
  <si>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</si>
  <si>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</si>
  <si>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</si>
  <si>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</si>
  <si>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</si>
  <si>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</si>
  <si>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</si>
  <si>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</si>
  <si>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</si>
  <si>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</si>
  <si>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</si>
  <si>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</si>
  <si>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</si>
  <si>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</si>
  <si>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</si>
  <si>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</si>
  <si>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</si>
  <si>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</si>
  <si>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</si>
  <si>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</si>
  <si>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</si>
  <si>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</si>
  <si>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</si>
  <si>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</si>
  <si>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</si>
  <si>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</si>
  <si>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</si>
  <si>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</si>
  <si>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</si>
  <si>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</si>
  <si>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</si>
  <si>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</si>
  <si>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</si>
  <si>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</si>
  <si>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</si>
  <si>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</si>
  <si>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</si>
  <si>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</si>
  <si>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</si>
  <si>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</si>
  <si>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</si>
  <si>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</si>
  <si>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</si>
  <si>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</si>
  <si>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</si>
  <si>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</si>
  <si>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</si>
  <si>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</si>
  <si>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</si>
  <si>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</si>
  <si>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</si>
  <si>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</si>
  <si>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</si>
  <si>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</si>
  <si>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</si>
  <si>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</si>
  <si>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</si>
  <si>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</si>
  <si>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</si>
  <si>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</si>
  <si>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</si>
  <si>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</si>
  <si>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</si>
  <si>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</si>
  <si>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</si>
  <si>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</si>
  <si>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</si>
  <si>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</si>
  <si>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</si>
  <si>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</si>
  <si>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</si>
  <si>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</si>
  <si>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</si>
  <si>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</si>
  <si>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</si>
  <si>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</si>
  <si>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</si>
  <si>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</si>
  <si>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</si>
  <si>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</si>
  <si>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</si>
  <si>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</si>
  <si>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</si>
  <si>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</si>
  <si>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</si>
  <si>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</si>
  <si>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</si>
  <si>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</si>
  <si>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</si>
  <si>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</si>
  <si>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</si>
  <si>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</si>
  <si>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</si>
  <si>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</si>
  <si>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</si>
  <si>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</si>
  <si>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</si>
  <si>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</si>
  <si>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</si>
  <si>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</si>
  <si>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</si>
  <si>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</si>
  <si>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</si>
  <si>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</si>
  <si>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</si>
  <si>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</si>
  <si>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</si>
  <si>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</si>
  <si>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</si>
  <si>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</si>
  <si>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</si>
  <si>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</si>
  <si>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</si>
  <si>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</si>
  <si>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</si>
  <si>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</si>
  <si>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</si>
  <si>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</si>
  <si>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</si>
  <si>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</si>
  <si>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</si>
  <si>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</si>
  <si>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</si>
  <si>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</si>
  <si>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</si>
  <si>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</si>
  <si>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</si>
  <si>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</si>
  <si>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</si>
  <si>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</si>
  <si>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</si>
  <si>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</si>
  <si>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</si>
  <si>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</si>
  <si>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</si>
  <si>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</si>
  <si>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</si>
  <si>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</si>
  <si>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</si>
  <si>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</si>
  <si>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</si>
  <si>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</si>
  <si>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</si>
  <si>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</si>
  <si>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</si>
  <si>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</si>
  <si>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</si>
  <si>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</si>
  <si>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</si>
  <si>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</si>
  <si>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</si>
  <si>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</si>
  <si>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</si>
  <si>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</si>
  <si>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</si>
  <si>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</si>
  <si>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</si>
  <si>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</si>
  <si>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</si>
  <si>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</si>
  <si>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</si>
  <si>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</si>
  <si>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</si>
  <si>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</si>
  <si>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</si>
  <si>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</si>
  <si>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</si>
  <si>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</si>
  <si>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</si>
  <si>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</si>
  <si>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</si>
  <si>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</si>
  <si>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</si>
  <si>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</si>
  <si>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</si>
  <si>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</si>
  <si>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</si>
  <si>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</si>
  <si>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</si>
  <si>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</si>
  <si>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</si>
  <si>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</si>
  <si>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</si>
  <si>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</si>
  <si>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</si>
  <si>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</si>
  <si>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</si>
  <si>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</si>
  <si>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</si>
  <si>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</si>
  <si>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</si>
  <si>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</si>
  <si>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</si>
  <si>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</si>
  <si>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</si>
  <si>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</si>
  <si>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</si>
  <si>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</si>
  <si>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</si>
  <si>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</si>
  <si>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</si>
  <si>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</si>
  <si>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</si>
  <si>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</si>
  <si>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</si>
  <si>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</si>
  <si>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</si>
  <si>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</si>
  <si>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</si>
  <si>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</si>
  <si>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</si>
  <si>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</si>
  <si>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</si>
  <si>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</si>
  <si>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</si>
  <si>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</si>
  <si>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</si>
  <si>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</si>
  <si>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</si>
  <si>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</si>
  <si>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</si>
  <si>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</si>
  <si>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</si>
  <si>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</si>
  <si>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</si>
  <si>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</si>
  <si>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</si>
  <si>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</si>
  <si>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</si>
  <si>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</si>
  <si>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</si>
  <si>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</si>
  <si>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</si>
  <si>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</si>
  <si>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</si>
  <si>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</si>
  <si>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</si>
  <si>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</si>
  <si>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</si>
  <si>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</si>
  <si>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</si>
  <si>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</si>
  <si>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</si>
  <si>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</si>
  <si>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</si>
  <si>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</si>
  <si>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</si>
  <si>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</si>
  <si>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</si>
  <si>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</si>
  <si>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</si>
  <si>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</si>
  <si>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</si>
  <si>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</si>
  <si>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</si>
  <si>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</si>
  <si>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</si>
  <si>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</si>
  <si>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</si>
  <si>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</si>
  <si>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</si>
  <si>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</si>
  <si>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</si>
  <si>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</si>
  <si>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</si>
  <si>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</si>
  <si>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</si>
  <si>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</si>
  <si>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</si>
  <si>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</si>
  <si>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</si>
  <si>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</si>
  <si>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</si>
  <si>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</si>
  <si>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</si>
  <si>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</si>
  <si>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</si>
  <si>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</si>
  <si>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</si>
  <si>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</si>
  <si>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</si>
  <si>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</si>
  <si>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</si>
  <si>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</si>
  <si>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</si>
  <si>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</si>
  <si>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</si>
  <si>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</si>
  <si>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</si>
  <si>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</si>
  <si>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</si>
  <si>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</si>
  <si>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</si>
  <si>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</si>
  <si>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</si>
  <si>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</si>
  <si>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</si>
  <si>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</si>
  <si>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</si>
  <si>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</si>
  <si>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</si>
  <si>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</si>
  <si>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</si>
  <si>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</si>
  <si>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</si>
  <si>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</si>
  <si>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</si>
  <si>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</si>
  <si>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</si>
  <si>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</si>
  <si>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</si>
  <si>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</si>
  <si>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</si>
  <si>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</si>
  <si>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</si>
  <si>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</si>
  <si>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</si>
  <si>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</si>
  <si>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</si>
  <si>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</si>
  <si>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</si>
  <si>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</si>
  <si>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</si>
  <si>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</si>
  <si>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</si>
  <si>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</si>
  <si>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</si>
  <si>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</si>
  <si>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</si>
  <si>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</si>
  <si>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</si>
  <si>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</si>
  <si>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</si>
  <si>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</si>
  <si>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</si>
  <si>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</si>
  <si>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</si>
  <si>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</si>
  <si>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</si>
  <si>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</si>
  <si>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</si>
  <si>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</si>
  <si>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</si>
  <si>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</si>
  <si>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</si>
  <si>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</si>
  <si>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</si>
  <si>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</si>
  <si>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</si>
  <si>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</si>
  <si>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</si>
  <si>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</si>
  <si>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</si>
  <si>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</si>
  <si>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</si>
  <si>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</si>
  <si>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</si>
  <si>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</si>
  <si>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</si>
  <si>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</si>
  <si>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</si>
  <si>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</si>
  <si>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</si>
  <si>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</si>
  <si>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</si>
  <si>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</si>
  <si>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</si>
  <si>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</si>
  <si>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</si>
  <si>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</si>
  <si>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</si>
  <si>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</si>
  <si>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</si>
  <si>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</si>
  <si>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</si>
  <si>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</si>
  <si>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</si>
  <si>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</si>
  <si>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</si>
  <si>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</si>
  <si>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</si>
  <si>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</si>
  <si>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</si>
  <si>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</si>
  <si>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</si>
  <si>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</si>
  <si>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</si>
  <si>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</si>
  <si>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</si>
  <si>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</si>
  <si>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</si>
  <si>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</si>
  <si>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</si>
  <si>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</si>
  <si>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</si>
  <si>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</si>
  <si>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</si>
  <si>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</si>
  <si>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</si>
  <si>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</si>
  <si>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</si>
  <si>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</si>
  <si>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</si>
  <si>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</si>
  <si>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</si>
  <si>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</si>
  <si>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</si>
  <si>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</si>
  <si>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</si>
  <si>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</si>
  <si>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</si>
  <si>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</si>
  <si>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</si>
  <si>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</si>
  <si>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</si>
  <si>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</si>
  <si>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</si>
  <si>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</si>
  <si>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</si>
  <si>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</si>
  <si>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</si>
  <si>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</si>
  <si>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</si>
  <si>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</si>
  <si>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</si>
  <si>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</si>
  <si>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</si>
  <si>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</si>
  <si>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</si>
  <si>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</si>
  <si>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</si>
  <si>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</si>
  <si>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</si>
  <si>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</si>
  <si>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</si>
  <si>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</si>
  <si>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</si>
  <si>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</si>
  <si>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</si>
  <si>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</si>
  <si>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</si>
  <si>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</si>
  <si>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</si>
  <si>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</si>
  <si>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</si>
  <si>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</si>
  <si>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</si>
  <si>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</si>
  <si>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</si>
  <si>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</si>
  <si>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</si>
  <si>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</si>
  <si>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</si>
  <si>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</si>
  <si>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</si>
  <si>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</si>
  <si>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</si>
  <si>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</si>
  <si>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</si>
  <si>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</si>
  <si>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</si>
  <si>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</si>
  <si>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</si>
  <si>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</si>
  <si>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</si>
  <si>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</si>
  <si>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</si>
  <si>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</si>
  <si>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</si>
  <si>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</si>
  <si>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</si>
  <si>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</si>
  <si>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</si>
  <si>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</si>
  <si>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</si>
  <si>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</si>
  <si>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</si>
  <si>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</si>
  <si>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</si>
  <si>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</si>
  <si>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</si>
  <si>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</si>
  <si>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</si>
  <si>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</si>
  <si>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</si>
  <si>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</si>
  <si>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</si>
  <si>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</si>
  <si>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</si>
  <si>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</si>
  <si>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</si>
  <si>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</si>
  <si>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</si>
  <si>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</si>
  <si>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</si>
  <si>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</si>
  <si>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</si>
  <si>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</si>
  <si>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</si>
  <si>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</si>
  <si>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</si>
  <si>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</si>
  <si>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</si>
  <si>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</si>
  <si>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</si>
  <si>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</si>
  <si>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</si>
  <si>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</si>
  <si>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</si>
  <si>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</si>
  <si>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</si>
  <si>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</si>
  <si>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</si>
  <si>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</si>
  <si>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</si>
  <si>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</si>
  <si>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</si>
  <si>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</si>
  <si>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</si>
  <si>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</si>
  <si>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</si>
  <si>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</si>
  <si>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</si>
  <si>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</si>
  <si>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</si>
  <si>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</si>
  <si>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</si>
  <si>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</si>
  <si>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</si>
  <si>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</si>
  <si>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</si>
  <si>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</si>
  <si>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</si>
  <si>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</si>
  <si>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</si>
  <si>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</si>
  <si>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</si>
  <si>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</si>
  <si>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</si>
  <si>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</si>
  <si>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</si>
  <si>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</si>
  <si>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</si>
  <si>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</si>
  <si>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</si>
  <si>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</si>
  <si>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</si>
  <si>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</si>
  <si>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</si>
  <si>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</si>
  <si>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</si>
  <si>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</si>
  <si>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</si>
  <si>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</si>
  <si>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</si>
  <si>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</si>
  <si>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</si>
  <si>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</si>
  <si>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</si>
  <si>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</si>
  <si>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</si>
  <si>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</si>
  <si>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</si>
  <si>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</si>
  <si>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</si>
  <si>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</si>
  <si>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</si>
  <si>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</si>
  <si>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</si>
  <si>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</si>
  <si>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</si>
  <si>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</si>
  <si>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</si>
  <si>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</si>
  <si>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</si>
  <si>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</si>
  <si>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</si>
  <si>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</si>
  <si>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</si>
  <si>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</si>
  <si>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</si>
  <si>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</si>
  <si>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</si>
  <si>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</si>
  <si>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</si>
  <si>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</si>
  <si>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</si>
  <si>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</si>
  <si>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</si>
  <si>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</si>
  <si>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</si>
  <si>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</si>
  <si>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</si>
  <si>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</si>
  <si>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</si>
  <si>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</si>
  <si>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</si>
  <si>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</si>
  <si>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</si>
  <si>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</si>
  <si>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</si>
  <si>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</si>
  <si>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</si>
  <si>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</si>
  <si>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</si>
  <si>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</si>
  <si>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</si>
  <si>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</si>
  <si>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</si>
  <si>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</si>
  <si>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</si>
  <si>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</si>
  <si>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</si>
  <si>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</si>
  <si>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</si>
  <si>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</si>
  <si>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</si>
  <si>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</si>
  <si>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</si>
  <si>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</si>
  <si>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</si>
  <si>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</si>
  <si>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</si>
  <si>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</si>
  <si>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</si>
  <si>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</si>
  <si>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</si>
  <si>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</si>
  <si>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</si>
  <si>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</si>
  <si>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</si>
  <si>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</si>
  <si>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</si>
  <si>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</si>
  <si>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</si>
  <si>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</si>
  <si>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</si>
  <si>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</si>
  <si>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</si>
  <si>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</si>
  <si>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</si>
  <si>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</si>
  <si>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</si>
  <si>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</si>
  <si>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</si>
  <si>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</si>
  <si>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</si>
  <si>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</si>
  <si>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</si>
  <si>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</si>
  <si>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</si>
  <si>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</si>
  <si>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</si>
  <si>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</si>
  <si>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</si>
  <si>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</si>
  <si>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</si>
  <si>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</si>
  <si>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</si>
  <si>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</si>
  <si>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</si>
  <si>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</si>
  <si>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</si>
  <si>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</si>
  <si>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</si>
  <si>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</si>
  <si>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</si>
  <si>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</si>
  <si>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</si>
  <si>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</si>
  <si>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</si>
  <si>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</si>
  <si>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</si>
  <si>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</si>
  <si>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</si>
  <si>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</si>
  <si>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</si>
  <si>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</si>
  <si>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</si>
  <si>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</si>
  <si>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</si>
  <si>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</si>
  <si>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</si>
  <si>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</si>
  <si>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</si>
  <si>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</si>
  <si>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</si>
  <si>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</si>
  <si>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</si>
  <si>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</si>
  <si>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</si>
  <si>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</si>
  <si>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</si>
  <si>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</si>
  <si>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</si>
  <si>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</si>
  <si>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</si>
  <si>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</si>
  <si>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</si>
  <si>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</si>
  <si>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</si>
  <si>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</si>
  <si>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</si>
  <si>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</si>
  <si>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</si>
  <si>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</si>
  <si>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</si>
  <si>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</si>
  <si>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</si>
  <si>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</si>
  <si>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</si>
  <si>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</si>
  <si>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</si>
  <si>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</si>
  <si>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</si>
  <si>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</si>
  <si>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</si>
  <si>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</si>
  <si>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</si>
  <si>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</si>
  <si>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</si>
  <si>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</si>
  <si>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</si>
  <si>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</si>
  <si>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</si>
  <si>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</si>
  <si>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</si>
  <si>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</si>
  <si>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</si>
  <si>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</si>
  <si>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</si>
  <si>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</si>
  <si>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</si>
  <si>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</si>
  <si>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</si>
  <si>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</si>
  <si>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</si>
  <si>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</si>
  <si>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</si>
  <si>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</si>
  <si>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</si>
  <si>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</si>
  <si>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</si>
  <si>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</si>
  <si>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</si>
  <si>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</si>
  <si>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</si>
  <si>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</si>
  <si>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</si>
  <si>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</si>
  <si>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</si>
  <si>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</si>
  <si>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</si>
  <si>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</si>
  <si>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</si>
  <si>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</si>
  <si>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</si>
  <si>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</si>
  <si>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</si>
  <si>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</si>
  <si>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</si>
  <si>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</si>
  <si>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</si>
  <si>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</si>
  <si>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</si>
  <si>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</si>
  <si>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</si>
  <si>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</si>
  <si>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</si>
  <si>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</si>
  <si>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</si>
  <si>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</si>
  <si>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</si>
  <si>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</si>
  <si>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</si>
  <si>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</si>
  <si>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</si>
  <si>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</si>
  <si>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</si>
  <si>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</si>
  <si>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</si>
  <si>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</si>
  <si>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</si>
  <si>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</si>
  <si>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</si>
  <si>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</si>
  <si>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</si>
  <si>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</si>
  <si>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</si>
  <si>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</si>
  <si>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</si>
  <si>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</si>
  <si>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</si>
  <si>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</si>
  <si>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</si>
  <si>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</si>
  <si>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</si>
  <si>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</si>
  <si>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</si>
  <si>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</si>
  <si>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</si>
  <si>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</si>
  <si>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</si>
  <si>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</si>
  <si>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</si>
  <si>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</si>
  <si>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</si>
  <si>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</si>
  <si>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</si>
  <si>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</si>
  <si>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</si>
  <si>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</si>
  <si>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</si>
  <si>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</si>
  <si>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</si>
  <si>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</si>
  <si>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</si>
  <si>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</si>
  <si>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</si>
  <si>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</si>
  <si>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</si>
  <si>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</si>
  <si>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</si>
  <si>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</si>
  <si>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</si>
  <si>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</si>
  <si>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</si>
  <si>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</si>
  <si>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</si>
  <si>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</si>
  <si>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</si>
  <si>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</si>
  <si>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</si>
  <si>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</si>
  <si>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</si>
  <si>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</si>
  <si>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</si>
  <si>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</si>
  <si>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</si>
  <si>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</si>
  <si>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</si>
  <si>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</si>
  <si>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</si>
  <si>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</si>
  <si>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</si>
  <si>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</si>
  <si>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</si>
  <si>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</si>
  <si>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</si>
  <si>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</si>
  <si>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</si>
  <si>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</si>
  <si>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</si>
  <si>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</si>
  <si>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</si>
  <si>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</si>
  <si>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</si>
  <si>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</si>
  <si>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</si>
  <si>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</si>
  <si>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</si>
  <si>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</si>
  <si>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</si>
  <si>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</si>
  <si>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</si>
  <si>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</si>
  <si>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</si>
  <si>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</si>
  <si>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</si>
  <si>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</si>
  <si>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</si>
  <si>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</si>
  <si>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</si>
  <si>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</si>
  <si>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</si>
  <si>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</si>
  <si>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</si>
  <si>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</si>
  <si>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</si>
  <si>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</si>
  <si>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</si>
  <si>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</si>
  <si>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</si>
  <si>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</si>
  <si>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</si>
  <si>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</si>
  <si>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</si>
  <si>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</si>
  <si>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</si>
  <si>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</si>
  <si>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</si>
  <si>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</si>
  <si>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</si>
  <si>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</si>
  <si>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</si>
  <si>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</si>
  <si>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</si>
  <si>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</si>
  <si>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</si>
  <si>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</si>
  <si>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</si>
  <si>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</si>
  <si>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</si>
  <si>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</si>
  <si>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</si>
  <si>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</si>
  <si>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</si>
  <si>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</si>
  <si>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</si>
  <si>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</si>
  <si>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</si>
  <si>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</si>
  <si>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</si>
  <si>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</si>
  <si>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</si>
  <si>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</si>
  <si>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</si>
  <si>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</si>
  <si>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</si>
  <si>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</si>
  <si>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</si>
  <si>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</si>
  <si>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</si>
  <si>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</si>
  <si>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</si>
  <si>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</si>
  <si>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</si>
  <si>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</si>
  <si>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</si>
  <si>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</si>
  <si>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</si>
  <si>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</si>
  <si>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</si>
  <si>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</si>
  <si>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</si>
  <si>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</si>
  <si>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</si>
  <si>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</si>
  <si>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</si>
  <si>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</si>
  <si>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</si>
  <si>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</si>
  <si>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</si>
  <si>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</si>
  <si>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</si>
  <si>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</si>
  <si>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</si>
  <si>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</si>
  <si>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</si>
  <si>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</si>
  <si>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</si>
  <si>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</si>
  <si>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</si>
  <si>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</si>
  <si>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</si>
  <si>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</si>
  <si>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</si>
  <si>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</si>
  <si>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</si>
  <si>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</si>
  <si>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</si>
  <si>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</si>
  <si>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</si>
  <si>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</si>
  <si>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</si>
  <si>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</si>
  <si>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</si>
  <si>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</si>
  <si>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</si>
  <si>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</si>
  <si>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</si>
  <si>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</si>
  <si>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</si>
  <si>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</si>
  <si>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</si>
  <si>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</si>
  <si>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</si>
  <si>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</si>
  <si>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</si>
  <si>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</si>
  <si>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</si>
  <si>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</si>
  <si>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</si>
  <si>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</si>
  <si>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</si>
  <si>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</si>
  <si>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</si>
  <si>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</si>
  <si>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</si>
  <si>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</si>
  <si>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</si>
  <si>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</si>
  <si>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</si>
  <si>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</si>
  <si>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</si>
  <si>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</si>
  <si>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</si>
  <si>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</si>
  <si>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</si>
  <si>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</si>
  <si>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</si>
  <si>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</si>
  <si>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</si>
  <si>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</si>
  <si>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</si>
  <si>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</si>
  <si>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</si>
  <si>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</si>
  <si>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</si>
  <si>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</si>
  <si>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</si>
  <si>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</si>
  <si>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</si>
  <si>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</si>
  <si>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</si>
  <si>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</si>
  <si>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</si>
  <si>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</si>
  <si>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</si>
  <si>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</si>
  <si>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</si>
  <si>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</si>
  <si>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</si>
  <si>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</si>
  <si>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</si>
  <si>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</si>
  <si>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</si>
  <si>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</si>
  <si>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</si>
  <si>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</si>
  <si>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</si>
  <si>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</si>
  <si>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</si>
  <si>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</si>
  <si>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</si>
  <si>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</si>
  <si>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</si>
  <si>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</si>
  <si>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</si>
  <si>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</si>
  <si>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</si>
  <si>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</si>
  <si>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</si>
  <si>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</si>
  <si>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</si>
  <si>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</si>
  <si>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</si>
  <si>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</si>
  <si>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</si>
  <si>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</si>
  <si>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</si>
  <si>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</si>
  <si>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</si>
  <si>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</si>
  <si>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</si>
  <si>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</si>
  <si>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</si>
  <si>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</si>
  <si>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</si>
  <si>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</si>
  <si>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</si>
  <si>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</si>
  <si>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</si>
  <si>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</si>
  <si>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</si>
  <si>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</si>
  <si>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</si>
  <si>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</si>
  <si>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</si>
  <si>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</si>
  <si>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</si>
  <si>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</si>
  <si>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</si>
  <si>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</si>
  <si>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</si>
  <si>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</si>
  <si>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</si>
  <si>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</si>
  <si>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</si>
  <si>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</si>
  <si>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</si>
  <si>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</si>
  <si>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</si>
  <si>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</si>
  <si>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</si>
  <si>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</si>
  <si>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</si>
  <si>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</si>
  <si>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</si>
  <si>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</si>
  <si>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</si>
  <si>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</si>
  <si>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</si>
  <si>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</si>
  <si>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</si>
  <si>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</si>
  <si>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</si>
  <si>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</si>
  <si>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</si>
  <si>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</si>
  <si>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</si>
  <si>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</si>
  <si>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</si>
  <si>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</si>
  <si>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</si>
  <si>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</si>
  <si>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</si>
  <si>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</si>
  <si>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</si>
  <si>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</si>
  <si>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</si>
  <si>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</si>
  <si>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</si>
  <si>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</si>
  <si>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</si>
  <si>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</si>
  <si>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</si>
  <si>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</si>
  <si>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</si>
  <si>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</si>
  <si>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</si>
  <si>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</si>
  <si>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</si>
  <si>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</si>
  <si>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</si>
  <si>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</si>
  <si>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</si>
  <si>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</si>
  <si>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</si>
  <si>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</si>
  <si>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</si>
  <si>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</si>
  <si>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</si>
  <si>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</si>
  <si>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</si>
  <si>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</si>
  <si>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</si>
  <si>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</si>
  <si>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</si>
  <si>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</si>
  <si>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</si>
  <si>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</si>
  <si>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</si>
  <si>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</si>
  <si>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</si>
  <si>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</si>
  <si>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</si>
  <si>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</si>
  <si>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</si>
  <si>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</si>
  <si>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</si>
  <si>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</si>
  <si>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</si>
  <si>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</si>
  <si>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</si>
  <si>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</si>
  <si>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</si>
  <si>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</si>
  <si>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</si>
  <si>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</si>
  <si>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</si>
  <si>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</si>
  <si>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</si>
  <si>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</si>
  <si>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</si>
  <si>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</si>
  <si>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</si>
  <si>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</si>
  <si>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</si>
  <si>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</si>
  <si>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</si>
  <si>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</si>
  <si>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</si>
  <si>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</si>
  <si>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</si>
  <si>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</si>
  <si>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</si>
  <si>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</si>
  <si>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</si>
  <si>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</si>
  <si>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</si>
  <si>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</si>
  <si>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</si>
  <si>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</si>
  <si>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</si>
  <si>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</si>
  <si>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</si>
  <si>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</si>
  <si>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</si>
  <si>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</si>
  <si>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</si>
  <si>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</si>
  <si>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</si>
  <si>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</si>
  <si>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</si>
  <si>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</si>
  <si>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</si>
  <si>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</si>
  <si>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</si>
  <si>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</si>
  <si>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</si>
  <si>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</si>
  <si>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</si>
  <si>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</si>
  <si>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</si>
  <si>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</si>
  <si>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</si>
  <si>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</si>
  <si>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</si>
  <si>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</si>
  <si>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</si>
  <si>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</si>
  <si>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</si>
  <si>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</si>
  <si>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</si>
  <si>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</si>
  <si>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</si>
  <si>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</si>
  <si>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</si>
  <si>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</si>
  <si>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</si>
  <si>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</si>
  <si>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</si>
  <si>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</si>
  <si>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</si>
  <si>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</si>
  <si>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</si>
  <si>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</si>
  <si>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</si>
  <si>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</si>
  <si>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</si>
  <si>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</si>
  <si>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</si>
  <si>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</si>
  <si>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</si>
  <si>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</si>
  <si>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</si>
  <si>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</si>
  <si>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</si>
  <si>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</si>
  <si>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</si>
  <si>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</si>
  <si>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</si>
  <si>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</si>
  <si>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</si>
  <si>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</si>
  <si>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</si>
  <si>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</si>
  <si>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</si>
  <si>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</si>
  <si>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</si>
  <si>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</si>
  <si>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</si>
  <si>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</si>
  <si>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</si>
  <si>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</si>
  <si>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</si>
  <si>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</si>
  <si>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</si>
  <si>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</si>
  <si>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</si>
  <si>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</si>
  <si>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</si>
  <si>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</si>
  <si>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</si>
  <si>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</si>
  <si>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</si>
  <si>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</si>
  <si>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</si>
  <si>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Fund 21- FY 23 audit adjustment impacted fund balance, 7/1/23 balance wouldn't agree to last year DOE-25</t>
  </si>
  <si>
    <t>Fund 10- FY 23 audit adjustment impacted fund balance, 7/1/23 balance wouldn't agree to last year DOE-25</t>
  </si>
  <si>
    <t>11/09</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</si>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</sst>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15" fillId="0" borderId="0" xfId="0"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1470</v>
      </c>
      <c r="B2">
        <f>INDEX('School Tables'!$AH$3:$AH$213,MATCH('DOE25'!A2,'School Tables'!$AJ$3:$AJ$213,0))</f>
        <v>582</v>
      </c>
      <c r="C2">
        <f>INDEX('School Tables'!$AI$3:$AI$213,MATCH('DOE25'!A2,'School Tables'!$AJ$3:$AJ$213,0))</f>
        <v>582</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4103392</f>
        <v>4103392</v>
      </c>
      <c r="G9" s="18">
        <f>927880+400+102876-636768</f>
        <v>394388</v>
      </c>
      <c r="H9" s="18">
        <v>14097</v>
      </c>
      <c r="I9" s="18"/>
      <c r="J9" s="13">
        <f>SUM(I440)</f>
        <v>1916717</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f>2346072-707944</f>
        <v>1638128</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105994</v>
      </c>
      <c r="G13" s="18">
        <v>20986</v>
      </c>
      <c r="H13" s="18">
        <v>965652</v>
      </c>
      <c r="I13" s="18">
        <v>455448</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5290</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5642</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4220318</v>
      </c>
      <c r="G19" s="38">
        <f>SUM(G9:G18)</f>
        <v>415374</v>
      </c>
      <c r="H19" s="38">
        <f>SUM(H9:H18)</f>
        <v>979749</v>
      </c>
      <c r="I19" s="38">
        <f>SUM(I9:I18)</f>
        <v>2093576</v>
      </c>
      <c r="J19" s="38">
        <f>SUM(J9:J18)</f>
        <v>1916717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152982</v>
      </c>
      <c r="G22" s="18"/>
      <c r="H22" s="18">
        <v>965652</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76838</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172775</v>
      </c>
      <c r="G24" s="18">
        <v>12575</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100576</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v>14097</v>
      </c>
      <c r="I30" s="18">
        <v>2093576</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5986</v>
      </c>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509157</v>
      </c>
      <c r="G32" s="38">
        <f>SUM(G22:G31)</f>
        <v>12575</v>
      </c>
      <c r="H32" s="38">
        <f>SUM(H22:H31)</f>
        <v>979749</v>
      </c>
      <c r="I32" s="38">
        <f>SUM(I22:I31)</f>
        <v>2093576</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5642</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364104+744665-705970</f>
        <v>402799</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1200000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1916717</v>
      </c>
      <c r="K48" s="23" t="s">
        <v>288</v>
      </c>
      <c r="L48" s="23" t="s">
        <v>288</v>
      </c>
      <c r="M48" s="8"/>
      <c r="N48" s="164"/>
    </row>
    <row r="49" spans="1:14" s="3" customFormat="1" ht="12.2" customHeight="1" x14ac:dyDescent="0.15">
      <c r="A49" s="1" t="s">
        <v>855</v>
      </c>
      <c r="B49" s="2" t="s">
        <v>289</v>
      </c>
      <c r="C49" s="6">
        <v>34</v>
      </c>
      <c r="D49" s="2"/>
      <c r="E49" s="6">
        <v>753</v>
      </c>
      <c r="F49" s="18">
        <v>337868</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2163801+24855134-24851284</f>
        <v>2167651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3711161</v>
      </c>
      <c r="G51" s="38">
        <f>SUM(G35:G50)</f>
        <v>402799</v>
      </c>
      <c r="H51" s="38">
        <f>SUM(H35:H50)</f>
        <v>0</v>
      </c>
      <c r="I51" s="38">
        <f>SUM(I35:I50)</f>
        <v>0</v>
      </c>
      <c r="J51" s="38">
        <f>SUM(J35:J50)</f>
        <v>1916717</v>
      </c>
      <c r="K51" s="42" t="s">
        <v>288</v>
      </c>
      <c r="L51" s="42" t="s">
        <v>288</v>
      </c>
      <c r="N51" s="130"/>
    </row>
    <row r="52" spans="1:14" s="3" customFormat="1" ht="12.2" customHeight="1" thickTop="1" x14ac:dyDescent="0.15">
      <c r="A52" s="35" t="s">
        <v>455</v>
      </c>
      <c r="B52" s="36" t="s">
        <v>289</v>
      </c>
      <c r="C52" s="6">
        <v>37</v>
      </c>
      <c r="D52" s="36" t="s">
        <v>653</v>
      </c>
      <c r="E52" s="36"/>
      <c r="F52" s="38">
        <f>F51+F32</f>
        <v>4220318</v>
      </c>
      <c r="G52" s="38">
        <f>G51+G32</f>
        <v>415374</v>
      </c>
      <c r="H52" s="38">
        <f>H51+H32</f>
        <v>979749</v>
      </c>
      <c r="I52" s="38">
        <f>I51+I32</f>
        <v>2093576</v>
      </c>
      <c r="J52" s="38">
        <f>J51+J32</f>
        <v>1916717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13431641</v>
      </c>
      <c r="G57" s="18"/>
      <c r="H57" s="18"/>
      <c r="I57" s="18"/>
      <c r="J57" s="18">
        <v>0</v>
      </c>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v>0</v>
      </c>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13431641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18804</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39691</v>
      </c>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58495</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36493</v>
      </c>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36493</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283737</v>
      </c>
      <c r="G96" s="18"/>
      <c r="H96" s="18"/>
      <c r="I96" s="18"/>
      <c r="J96" s="18">
        <v>88592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333350</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f>1005+32982</f>
        <v>33987</v>
      </c>
      <c r="G102" s="18">
        <v>1384</v>
      </c>
      <c r="H102" s="18">
        <v>4552</v>
      </c>
      <c r="I102" s="18"/>
      <c r="J102" s="18">
        <v>0</v>
      </c>
      <c r="K102" s="23" t="s">
        <v>288</v>
      </c>
      <c r="L102" s="23" t="s">
        <v>288</v>
      </c>
      <c r="M102" s="8"/>
      <c r="N102" s="164"/>
    </row>
    <row r="103" spans="1:14" s="3" customFormat="1" ht="12.2" customHeight="1" x14ac:dyDescent="0.15">
      <c r="A103" s="1" t="s">
        <v>507</v>
      </c>
      <c r="B103" s="2" t="s">
        <v>315</v>
      </c>
      <c r="C103" s="6">
        <v>17</v>
      </c>
      <c r="D103" s="2" t="s">
        <v>430</v>
      </c>
      <c r="E103" s="6">
        <v>1930</v>
      </c>
      <c r="F103" s="18"/>
      <c r="G103" s="18">
        <v>750</v>
      </c>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104371</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25319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62973</v>
      </c>
      <c r="G110" s="18">
        <f>12782+31662</f>
        <v>44444</v>
      </c>
      <c r="H110" s="18"/>
      <c r="I110" s="18">
        <v>449324</v>
      </c>
      <c r="J110" s="18">
        <v>0</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510387</v>
      </c>
      <c r="G111" s="38">
        <f>SUM(G96:G110)</f>
        <v>379928</v>
      </c>
      <c r="H111" s="38">
        <f>SUM(H96:H110)</f>
        <v>4552</v>
      </c>
      <c r="I111" s="38">
        <f>SUM(I96:I110)</f>
        <v>449324</v>
      </c>
      <c r="J111" s="38">
        <f>SUM(J96:J110)</f>
        <v>88592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14037016</v>
      </c>
      <c r="G112" s="38">
        <f>G60+G111</f>
        <v>379928</v>
      </c>
      <c r="H112" s="38">
        <f>H60+H79+H94+H111</f>
        <v>4552</v>
      </c>
      <c r="I112" s="38">
        <f>I60+I111</f>
        <v>449324</v>
      </c>
      <c r="J112" s="38">
        <f>J60+J111</f>
        <v>88592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6797878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3051393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55954</v>
      </c>
      <c r="G120" s="18"/>
      <c r="H120" s="18"/>
      <c r="I120" s="18"/>
      <c r="J120" s="18">
        <v>0</v>
      </c>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9905225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135782</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v>145550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36702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38117</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10902</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9004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367053</v>
      </c>
      <c r="G136" s="38">
        <f>SUM(G123:G135)</f>
        <v>9004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10272278</v>
      </c>
      <c r="G140" s="38">
        <f>G121+SUM(G136:G137)</f>
        <v>9004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728174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67562</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57694</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295772+28488+31473</f>
        <v>355733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421226+31250</f>
        <v>452476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192967</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1325257+13953</f>
        <v>1339210</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192967</v>
      </c>
      <c r="G163" s="38">
        <f>SUM(G150:G162)</f>
        <v>355733</v>
      </c>
      <c r="H163" s="38">
        <f>SUM(H150:H162)</f>
        <v>2645116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192967</v>
      </c>
      <c r="G170" s="38">
        <f>G147+G163+SUM(G164:G169)</f>
        <v>355733</v>
      </c>
      <c r="H170" s="38">
        <f>H147+H163+SUM(H164:H169)</f>
        <v>2645116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v>258620</v>
      </c>
      <c r="J180" s="18">
        <v>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v>0</v>
      </c>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v>0</v>
      </c>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v>0</v>
      </c>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258620</v>
      </c>
      <c r="J184" s="38">
        <f>SUM(J180:J183)</f>
        <v>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352873</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352873</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352873</v>
      </c>
      <c r="G193" s="38">
        <f>G184+SUM(G189:G192)</f>
        <v>0</v>
      </c>
      <c r="H193" s="38">
        <f>+H184+SUM(H189:H192)</f>
        <v>0</v>
      </c>
      <c r="I193" s="38">
        <f>I178+I184+SUM(I189:I192)</f>
        <v>258620</v>
      </c>
      <c r="J193" s="38">
        <f>J184</f>
        <v>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24855134</v>
      </c>
      <c r="G194" s="38">
        <f>G112+G140+G170+G193</f>
        <v>744665</v>
      </c>
      <c r="H194" s="38">
        <f>H112+H140+H170+H193</f>
        <v>2649668</v>
      </c>
      <c r="I194" s="38">
        <f>I112+I140+I170+I193</f>
        <v>707944</v>
      </c>
      <c r="J194" s="38">
        <f>J112+J140+J193</f>
        <v>88592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2029539+1364</f>
        <v>2030903</v>
      </c>
      <c r="G198" s="18">
        <f>1055926+345+2906</f>
        <v>1059177</v>
      </c>
      <c r="H198" s="18">
        <f>564</f>
        <v>564</v>
      </c>
      <c r="I198" s="18">
        <v>83979</v>
      </c>
      <c r="J198" s="18">
        <v>7328</v>
      </c>
      <c r="K198" s="18"/>
      <c r="L198" s="13">
        <f>SUM(F198:K198)</f>
        <v>3181951</v>
      </c>
      <c r="M198" s="8"/>
      <c r="N198" s="164"/>
    </row>
    <row r="199" spans="1:14" s="3" customFormat="1" ht="12.2" customHeight="1" x14ac:dyDescent="0.15">
      <c r="A199" s="1" t="s">
        <v>439</v>
      </c>
      <c r="B199" s="2" t="s">
        <v>341</v>
      </c>
      <c r="C199" s="2" t="s">
        <v>291</v>
      </c>
      <c r="D199" s="2" t="s">
        <v>431</v>
      </c>
      <c r="E199" s="6">
        <v>1200</v>
      </c>
      <c r="F199" s="18">
        <f>665568+8602+17911+120694</f>
        <v>812775</v>
      </c>
      <c r="G199" s="18">
        <f>274051+3718+3672+63982</f>
        <v>345423</v>
      </c>
      <c r="H199" s="18">
        <f>49+875579</f>
        <v>875628</v>
      </c>
      <c r="I199" s="18">
        <f>5178+183+7349+774</f>
        <v>13484</v>
      </c>
      <c r="J199" s="18"/>
      <c r="K199" s="18">
        <f>500</f>
        <v>500</v>
      </c>
      <c r="L199" s="13">
        <f>SUM(F199:K199)</f>
        <v>2047810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31017</v>
      </c>
      <c r="G201" s="18">
        <v>7974</v>
      </c>
      <c r="H201" s="18"/>
      <c r="I201" s="18"/>
      <c r="J201" s="18"/>
      <c r="K201" s="18"/>
      <c r="L201" s="13">
        <f>SUM(F201:K201)</f>
        <v>38991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309565+20560</f>
        <v>330125</v>
      </c>
      <c r="G203" s="18">
        <f>159686+16708</f>
        <v>176394</v>
      </c>
      <c r="H203" s="18">
        <f>3443+20253</f>
        <v>23696</v>
      </c>
      <c r="I203" s="18">
        <f>3320+1005+3548</f>
        <v>7873</v>
      </c>
      <c r="J203" s="18">
        <f>4290+195</f>
        <v>4485</v>
      </c>
      <c r="K203" s="18">
        <v>708</v>
      </c>
      <c r="L203" s="13">
        <f t="shared" ref="L203:L209" si="0">SUM(F203:K203)</f>
        <v>543281</v>
      </c>
      <c r="M203" s="8"/>
      <c r="N203" s="164"/>
    </row>
    <row r="204" spans="1:14" s="3" customFormat="1" ht="12.2" customHeight="1" x14ac:dyDescent="0.15">
      <c r="A204" s="1" t="s">
        <v>443</v>
      </c>
      <c r="B204" s="2" t="s">
        <v>341</v>
      </c>
      <c r="C204" s="2" t="s">
        <v>295</v>
      </c>
      <c r="D204" s="2" t="s">
        <v>431</v>
      </c>
      <c r="E204" s="6">
        <v>2200</v>
      </c>
      <c r="F204" s="18">
        <f>120628+65935</f>
        <v>186563</v>
      </c>
      <c r="G204" s="18">
        <f>69524+60296+3660</f>
        <v>133480</v>
      </c>
      <c r="H204" s="18">
        <f>1128+5101</f>
        <v>6229</v>
      </c>
      <c r="I204" s="18">
        <f>4672+46986</f>
        <v>51658</v>
      </c>
      <c r="J204" s="18"/>
      <c r="K204" s="18">
        <f>25+131</f>
        <v>156</v>
      </c>
      <c r="L204" s="13">
        <f t="shared" si="0"/>
        <v>378086</v>
      </c>
      <c r="M204" s="8"/>
      <c r="N204" s="164"/>
    </row>
    <row r="205" spans="1:14" s="3" customFormat="1" ht="12.2" customHeight="1" x14ac:dyDescent="0.15">
      <c r="A205" s="1" t="s">
        <v>444</v>
      </c>
      <c r="B205" s="2" t="s">
        <v>341</v>
      </c>
      <c r="C205" s="2" t="s">
        <v>296</v>
      </c>
      <c r="D205" s="2" t="s">
        <v>431</v>
      </c>
      <c r="E205" s="6">
        <v>2300</v>
      </c>
      <c r="F205" s="18">
        <f>6680+107443+75348+37894+140000+99237</f>
        <v>466602</v>
      </c>
      <c r="G205" s="18">
        <f>875+60959+35572+21259+73492+61705</f>
        <v>253862</v>
      </c>
      <c r="H205" s="18">
        <f>37153+50285+7239+33379+1320</f>
        <v>129376</v>
      </c>
      <c r="I205" s="18">
        <f>106+28150+31453</f>
        <v>59709</v>
      </c>
      <c r="J205" s="18">
        <f>16787+785</f>
        <v>17572</v>
      </c>
      <c r="K205" s="18">
        <f>1941+993</f>
        <v>2934</v>
      </c>
      <c r="L205" s="13">
        <f t="shared" si="0"/>
        <v>930055</v>
      </c>
      <c r="M205" s="8"/>
      <c r="N205" s="164"/>
    </row>
    <row r="206" spans="1:14" s="3" customFormat="1" ht="12.2" customHeight="1" x14ac:dyDescent="0.15">
      <c r="A206" s="1" t="s">
        <v>445</v>
      </c>
      <c r="B206" s="2" t="s">
        <v>341</v>
      </c>
      <c r="C206" s="2" t="s">
        <v>297</v>
      </c>
      <c r="D206" s="2" t="s">
        <v>431</v>
      </c>
      <c r="E206" s="6">
        <v>2400</v>
      </c>
      <c r="F206" s="18">
        <f>339580+29733</f>
        <v>369313</v>
      </c>
      <c r="G206" s="18">
        <f>188716+15793</f>
        <v>204509</v>
      </c>
      <c r="H206" s="18">
        <v>1425</v>
      </c>
      <c r="I206" s="18">
        <v>3960</v>
      </c>
      <c r="J206" s="18"/>
      <c r="K206" s="18">
        <v>1816</v>
      </c>
      <c r="L206" s="13">
        <f t="shared" si="0"/>
        <v>581023</v>
      </c>
      <c r="M206" s="8"/>
      <c r="N206" s="164"/>
    </row>
    <row r="207" spans="1:14" s="3" customFormat="1" ht="12.2" customHeight="1" x14ac:dyDescent="0.15">
      <c r="A207" s="1" t="s">
        <v>446</v>
      </c>
      <c r="B207" s="2" t="s">
        <v>341</v>
      </c>
      <c r="C207" s="2" t="s">
        <v>298</v>
      </c>
      <c r="D207" s="2" t="s">
        <v>431</v>
      </c>
      <c r="E207" s="6">
        <v>2500</v>
      </c>
      <c r="F207" s="18">
        <f>85844</f>
        <v>85844</v>
      </c>
      <c r="G207" s="18">
        <f>40597</f>
        <v>40597</v>
      </c>
      <c r="H207" s="18">
        <f>10691</f>
        <v>10691</v>
      </c>
      <c r="I207" s="18"/>
      <c r="J207" s="18"/>
      <c r="K207" s="18"/>
      <c r="L207" s="13">
        <f t="shared" si="0"/>
        <v>137132</v>
      </c>
      <c r="M207" s="8"/>
      <c r="N207" s="164"/>
    </row>
    <row r="208" spans="1:14" s="3" customFormat="1" ht="12.2" customHeight="1" x14ac:dyDescent="0.15">
      <c r="A208" s="1" t="s">
        <v>447</v>
      </c>
      <c r="B208" s="2" t="s">
        <v>341</v>
      </c>
      <c r="C208" s="2" t="s">
        <v>299</v>
      </c>
      <c r="D208" s="2" t="s">
        <v>431</v>
      </c>
      <c r="E208" s="6">
        <v>2600</v>
      </c>
      <c r="F208" s="18">
        <f>123688+119343</f>
        <v>243031</v>
      </c>
      <c r="G208" s="18">
        <f>70225+66198</f>
        <v>136423</v>
      </c>
      <c r="H208" s="18">
        <f>162206+21512</f>
        <v>183718</v>
      </c>
      <c r="I208" s="18">
        <f>105435+1053</f>
        <v>106488</v>
      </c>
      <c r="J208" s="18">
        <f>1588+236</f>
        <v>1824</v>
      </c>
      <c r="K208" s="18">
        <f>562</f>
        <v>562</v>
      </c>
      <c r="L208" s="13">
        <f t="shared" si="0"/>
        <v>672046</v>
      </c>
      <c r="M208" s="8"/>
      <c r="N208" s="164"/>
    </row>
    <row r="209" spans="1:14" s="3" customFormat="1" ht="12.2" customHeight="1" x14ac:dyDescent="0.15">
      <c r="A209" s="1" t="s">
        <v>448</v>
      </c>
      <c r="B209" s="2" t="s">
        <v>341</v>
      </c>
      <c r="C209" s="2" t="s">
        <v>300</v>
      </c>
      <c r="D209" s="2" t="s">
        <v>431</v>
      </c>
      <c r="E209" s="6">
        <v>2700</v>
      </c>
      <c r="F209" s="18"/>
      <c r="G209" s="18"/>
      <c r="H209" s="18">
        <f>3902+14578+16674+244285+124562</f>
        <v>404001</v>
      </c>
      <c r="I209" s="18"/>
      <c r="J209" s="18"/>
      <c r="K209" s="18"/>
      <c r="L209" s="13">
        <f t="shared" si="0"/>
        <v>404001</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4556173</v>
      </c>
      <c r="G212" s="38">
        <f t="shared" si="1"/>
        <v>2357839</v>
      </c>
      <c r="H212" s="38">
        <f t="shared" si="1"/>
        <v>1635328</v>
      </c>
      <c r="I212" s="38">
        <f t="shared" si="1"/>
        <v>327151</v>
      </c>
      <c r="J212" s="38">
        <f t="shared" si="1"/>
        <v>31209</v>
      </c>
      <c r="K212" s="38">
        <f t="shared" si="1"/>
        <v>6676</v>
      </c>
      <c r="L212" s="38">
        <f t="shared" si="1"/>
        <v>8914376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1708755+1165</f>
        <v>1709920</v>
      </c>
      <c r="G216" s="18">
        <f>823162+294</f>
        <v>823456</v>
      </c>
      <c r="H216" s="18">
        <v>2045</v>
      </c>
      <c r="I216" s="18">
        <v>37650</v>
      </c>
      <c r="J216" s="18">
        <v>17314</v>
      </c>
      <c r="K216" s="18">
        <v>215</v>
      </c>
      <c r="L216" s="13">
        <f>SUM(F216:K216)</f>
        <v>2590600</v>
      </c>
      <c r="M216" s="8"/>
      <c r="N216" s="164"/>
    </row>
    <row r="217" spans="1:14" s="3" customFormat="1" ht="12.2" customHeight="1" x14ac:dyDescent="0.15">
      <c r="A217" s="1" t="s">
        <v>439</v>
      </c>
      <c r="B217" s="2" t="s">
        <v>346</v>
      </c>
      <c r="C217" s="2" t="s">
        <v>291</v>
      </c>
      <c r="D217" s="2" t="s">
        <v>431</v>
      </c>
      <c r="E217" s="6">
        <v>1200</v>
      </c>
      <c r="F217" s="18">
        <f>303211+7348+13821</f>
        <v>324380</v>
      </c>
      <c r="G217" s="18">
        <f>128663+3176+2834</f>
        <v>134673</v>
      </c>
      <c r="H217" s="18">
        <f>27763+42+675644</f>
        <v>703449</v>
      </c>
      <c r="I217" s="18">
        <f>1903+157+5671</f>
        <v>7731</v>
      </c>
      <c r="J217" s="18"/>
      <c r="K217" s="18">
        <f>386</f>
        <v>386</v>
      </c>
      <c r="L217" s="13">
        <f>SUM(F217:K217)</f>
        <v>1170619</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93701</v>
      </c>
      <c r="G219" s="18">
        <v>22922</v>
      </c>
      <c r="H219" s="18">
        <v>12623</v>
      </c>
      <c r="I219" s="18">
        <v>3280</v>
      </c>
      <c r="J219" s="18">
        <v>5360</v>
      </c>
      <c r="K219" s="18">
        <v>1475</v>
      </c>
      <c r="L219" s="13">
        <f>SUM(F219:K219)</f>
        <v>139361</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182485+15865</f>
        <v>198350</v>
      </c>
      <c r="G221" s="18">
        <f>105903+12893</f>
        <v>118796</v>
      </c>
      <c r="H221" s="18">
        <f>30000+15629</f>
        <v>45629</v>
      </c>
      <c r="I221" s="18">
        <f>4117+2738</f>
        <v>6855</v>
      </c>
      <c r="J221" s="18">
        <f>240+151</f>
        <v>391</v>
      </c>
      <c r="K221" s="18">
        <v>329</v>
      </c>
      <c r="L221" s="13">
        <f t="shared" ref="L221:L227" si="2">SUM(F221:K221)</f>
        <v>370350</v>
      </c>
      <c r="M221" s="8"/>
      <c r="N221" s="164"/>
    </row>
    <row r="222" spans="1:14" s="3" customFormat="1" ht="12.2" customHeight="1" x14ac:dyDescent="0.15">
      <c r="A222" s="1" t="s">
        <v>443</v>
      </c>
      <c r="B222" s="2" t="s">
        <v>346</v>
      </c>
      <c r="C222" s="2" t="s">
        <v>295</v>
      </c>
      <c r="D222" s="2" t="s">
        <v>431</v>
      </c>
      <c r="E222" s="6">
        <v>2200</v>
      </c>
      <c r="F222" s="18">
        <f>85060+56319</f>
        <v>141379</v>
      </c>
      <c r="G222" s="18">
        <f>28147+51503+2824</f>
        <v>82474</v>
      </c>
      <c r="H222" s="18">
        <f>964+4357</f>
        <v>5321</v>
      </c>
      <c r="I222" s="18">
        <f>6866+40134</f>
        <v>47000</v>
      </c>
      <c r="J222" s="18"/>
      <c r="K222" s="18">
        <f>238+112</f>
        <v>350</v>
      </c>
      <c r="L222" s="13">
        <f t="shared" si="2"/>
        <v>276524</v>
      </c>
      <c r="M222" s="8"/>
      <c r="N222" s="164"/>
    </row>
    <row r="223" spans="1:14" s="3" customFormat="1" ht="12.2" customHeight="1" x14ac:dyDescent="0.15">
      <c r="A223" s="1" t="s">
        <v>444</v>
      </c>
      <c r="B223" s="2" t="s">
        <v>346</v>
      </c>
      <c r="C223" s="2" t="s">
        <v>296</v>
      </c>
      <c r="D223" s="2" t="s">
        <v>431</v>
      </c>
      <c r="E223" s="6">
        <v>2300</v>
      </c>
      <c r="F223" s="18">
        <f>5706+91774+64360+32368+66410+76577</f>
        <v>337195</v>
      </c>
      <c r="G223" s="18">
        <f>747+52070+30385+18159+41040+47615</f>
        <v>190016</v>
      </c>
      <c r="H223" s="18">
        <f>31735+42950+6184+28511+1018</f>
        <v>110398</v>
      </c>
      <c r="I223" s="18">
        <f>90+24045+26866</f>
        <v>51001</v>
      </c>
      <c r="J223" s="18">
        <f>14339+4823+670</f>
        <v>19832</v>
      </c>
      <c r="K223" s="18">
        <f>1658+848</f>
        <v>2506</v>
      </c>
      <c r="L223" s="13">
        <f t="shared" si="2"/>
        <v>710948</v>
      </c>
      <c r="M223" s="8"/>
      <c r="N223" s="164"/>
    </row>
    <row r="224" spans="1:14" s="3" customFormat="1" ht="12.2" customHeight="1" x14ac:dyDescent="0.15">
      <c r="A224" s="1" t="s">
        <v>445</v>
      </c>
      <c r="B224" s="2" t="s">
        <v>346</v>
      </c>
      <c r="C224" s="2" t="s">
        <v>297</v>
      </c>
      <c r="D224" s="2" t="s">
        <v>431</v>
      </c>
      <c r="E224" s="6">
        <v>2400</v>
      </c>
      <c r="F224" s="18">
        <f>287298+25397</f>
        <v>312695</v>
      </c>
      <c r="G224" s="18">
        <f>144682+13490</f>
        <v>158172</v>
      </c>
      <c r="H224" s="18">
        <v>2833</v>
      </c>
      <c r="I224" s="18">
        <v>7038</v>
      </c>
      <c r="J224" s="18"/>
      <c r="K224" s="18">
        <v>1912</v>
      </c>
      <c r="L224" s="13">
        <f t="shared" si="2"/>
        <v>482650</v>
      </c>
      <c r="M224" s="8"/>
      <c r="N224" s="164"/>
    </row>
    <row r="225" spans="1:14" s="3" customFormat="1" ht="12.2" customHeight="1" x14ac:dyDescent="0.15">
      <c r="A225" s="1" t="s">
        <v>446</v>
      </c>
      <c r="B225" s="2" t="s">
        <v>346</v>
      </c>
      <c r="C225" s="2" t="s">
        <v>298</v>
      </c>
      <c r="D225" s="2" t="s">
        <v>431</v>
      </c>
      <c r="E225" s="6">
        <v>2500</v>
      </c>
      <c r="F225" s="18">
        <f>73325</f>
        <v>73325</v>
      </c>
      <c r="G225" s="18">
        <f>34677</f>
        <v>34677</v>
      </c>
      <c r="H225" s="18">
        <f>9132</f>
        <v>9132</v>
      </c>
      <c r="I225" s="18"/>
      <c r="J225" s="18"/>
      <c r="K225" s="18"/>
      <c r="L225" s="13">
        <f t="shared" si="2"/>
        <v>117134</v>
      </c>
      <c r="M225" s="8"/>
      <c r="N225" s="164"/>
    </row>
    <row r="226" spans="1:14" s="3" customFormat="1" ht="12.2" customHeight="1" x14ac:dyDescent="0.15">
      <c r="A226" s="1" t="s">
        <v>447</v>
      </c>
      <c r="B226" s="2" t="s">
        <v>346</v>
      </c>
      <c r="C226" s="2" t="s">
        <v>299</v>
      </c>
      <c r="D226" s="2" t="s">
        <v>431</v>
      </c>
      <c r="E226" s="6">
        <v>2600</v>
      </c>
      <c r="F226" s="18">
        <f>71648+101939</f>
        <v>173587</v>
      </c>
      <c r="G226" s="18">
        <f>26134+56544</f>
        <v>82678</v>
      </c>
      <c r="H226" s="18">
        <f>173351+18375+36182</f>
        <v>227908</v>
      </c>
      <c r="I226" s="18">
        <f>85081+900</f>
        <v>85981</v>
      </c>
      <c r="J226" s="18">
        <f>202</f>
        <v>202</v>
      </c>
      <c r="K226" s="18">
        <f>23120+480</f>
        <v>23600</v>
      </c>
      <c r="L226" s="13">
        <f t="shared" si="2"/>
        <v>593956</v>
      </c>
      <c r="M226" s="8"/>
      <c r="N226" s="164"/>
    </row>
    <row r="227" spans="1:14" s="3" customFormat="1" ht="12.2" customHeight="1" x14ac:dyDescent="0.15">
      <c r="A227" s="1" t="s">
        <v>448</v>
      </c>
      <c r="B227" s="2" t="s">
        <v>346</v>
      </c>
      <c r="C227" s="2" t="s">
        <v>300</v>
      </c>
      <c r="D227" s="2" t="s">
        <v>431</v>
      </c>
      <c r="E227" s="6">
        <v>2700</v>
      </c>
      <c r="F227" s="18"/>
      <c r="G227" s="18"/>
      <c r="H227" s="18">
        <f>17058+42835+20843+292916+70405</f>
        <v>444057</v>
      </c>
      <c r="I227" s="18"/>
      <c r="J227" s="18"/>
      <c r="K227" s="18"/>
      <c r="L227" s="13">
        <f t="shared" si="2"/>
        <v>444057</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3364532</v>
      </c>
      <c r="G230" s="38">
        <f>SUM(G216:G229)</f>
        <v>1647864</v>
      </c>
      <c r="H230" s="38">
        <f>SUM(H216:H229)</f>
        <v>1563395</v>
      </c>
      <c r="I230" s="38">
        <f>SUM(I216:I229)</f>
        <v>246536</v>
      </c>
      <c r="J230" s="38">
        <f>SUM(J216:J229)</f>
        <v>43099</v>
      </c>
      <c r="K230" s="38">
        <f t="shared" si="3"/>
        <v>30773</v>
      </c>
      <c r="L230" s="38">
        <f t="shared" si="3"/>
        <v>6896199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1306237+1370</f>
        <v>1307607</v>
      </c>
      <c r="G234" s="18">
        <f>718653+343</f>
        <v>718996</v>
      </c>
      <c r="H234" s="18">
        <v>12112</v>
      </c>
      <c r="I234" s="18">
        <v>34111</v>
      </c>
      <c r="J234" s="18">
        <v>4625</v>
      </c>
      <c r="K234" s="18">
        <v>2274</v>
      </c>
      <c r="L234" s="13">
        <f>SUM(F234:K234)</f>
        <v>2079725</v>
      </c>
      <c r="M234" s="8"/>
      <c r="N234" s="164"/>
    </row>
    <row r="235" spans="1:14" s="3" customFormat="1" ht="12.2" customHeight="1" x14ac:dyDescent="0.15">
      <c r="A235" s="1" t="s">
        <v>439</v>
      </c>
      <c r="B235" s="2" t="s">
        <v>350</v>
      </c>
      <c r="C235" s="2" t="s">
        <v>291</v>
      </c>
      <c r="D235" s="2" t="s">
        <v>431</v>
      </c>
      <c r="E235" s="6">
        <v>1200</v>
      </c>
      <c r="F235" s="18">
        <f>375037+8642+10860</f>
        <v>394539</v>
      </c>
      <c r="G235" s="18">
        <f>189145+3735+2226</f>
        <v>195106</v>
      </c>
      <c r="H235" s="18">
        <f>58730+49+210979+530863</f>
        <v>800621</v>
      </c>
      <c r="I235" s="18">
        <f>1885+184+4456</f>
        <v>6525</v>
      </c>
      <c r="J235" s="18">
        <v>827</v>
      </c>
      <c r="K235" s="18">
        <f>303</f>
        <v>303</v>
      </c>
      <c r="L235" s="13">
        <f>SUM(F235:K235)</f>
        <v>1397921</v>
      </c>
      <c r="M235" s="8"/>
      <c r="N235" s="164"/>
    </row>
    <row r="236" spans="1:14" s="3" customFormat="1" ht="12.2" customHeight="1" x14ac:dyDescent="0.15">
      <c r="A236" s="1" t="s">
        <v>440</v>
      </c>
      <c r="B236" s="2" t="s">
        <v>350</v>
      </c>
      <c r="C236" s="2" t="s">
        <v>292</v>
      </c>
      <c r="D236" s="2" t="s">
        <v>431</v>
      </c>
      <c r="E236" s="6">
        <v>1300</v>
      </c>
      <c r="F236" s="18">
        <v>121864</v>
      </c>
      <c r="G236" s="18">
        <v>59312</v>
      </c>
      <c r="H236" s="18">
        <v>201351</v>
      </c>
      <c r="I236" s="18">
        <v>7181</v>
      </c>
      <c r="J236" s="18"/>
      <c r="K236" s="18">
        <v>170</v>
      </c>
      <c r="L236" s="13">
        <f>SUM(F236:K236)</f>
        <v>389878</v>
      </c>
      <c r="M236" s="8"/>
      <c r="N236" s="164"/>
    </row>
    <row r="237" spans="1:14" s="3" customFormat="1" ht="12.2" customHeight="1" x14ac:dyDescent="0.15">
      <c r="A237" s="1" t="s">
        <v>441</v>
      </c>
      <c r="B237" s="2" t="s">
        <v>350</v>
      </c>
      <c r="C237" s="2" t="s">
        <v>293</v>
      </c>
      <c r="D237" s="2" t="s">
        <v>431</v>
      </c>
      <c r="E237" s="6">
        <v>1400</v>
      </c>
      <c r="F237" s="18">
        <v>179919</v>
      </c>
      <c r="G237" s="18">
        <v>48051</v>
      </c>
      <c r="H237" s="18">
        <f>57159</f>
        <v>57159</v>
      </c>
      <c r="I237" s="18">
        <v>10910</v>
      </c>
      <c r="J237" s="18">
        <v>13705</v>
      </c>
      <c r="K237" s="18">
        <f>15379</f>
        <v>15379</v>
      </c>
      <c r="L237" s="13">
        <f>SUM(F237:K237)</f>
        <v>325123</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322664+12465</f>
        <v>335129</v>
      </c>
      <c r="G239" s="18">
        <f>172549+10130</f>
        <v>182679</v>
      </c>
      <c r="H239" s="18">
        <f>49287+12280</f>
        <v>61567</v>
      </c>
      <c r="I239" s="18">
        <f>3557+2151</f>
        <v>5708</v>
      </c>
      <c r="J239" s="18">
        <f>119</f>
        <v>119</v>
      </c>
      <c r="K239" s="18">
        <f>205</f>
        <v>205</v>
      </c>
      <c r="L239" s="13">
        <f t="shared" ref="L239:L245" si="4">SUM(F239:K239)</f>
        <v>585407</v>
      </c>
      <c r="M239" s="8"/>
      <c r="N239" s="164"/>
    </row>
    <row r="240" spans="1:14" s="3" customFormat="1" ht="12.2" customHeight="1" x14ac:dyDescent="0.15">
      <c r="A240" s="1" t="s">
        <v>443</v>
      </c>
      <c r="B240" s="2" t="s">
        <v>350</v>
      </c>
      <c r="C240" s="2" t="s">
        <v>295</v>
      </c>
      <c r="D240" s="2" t="s">
        <v>431</v>
      </c>
      <c r="E240" s="6">
        <v>2200</v>
      </c>
      <c r="F240" s="18">
        <f>67791+66240</f>
        <v>134031</v>
      </c>
      <c r="G240" s="18">
        <f>24930+60576+2219</f>
        <v>87725</v>
      </c>
      <c r="H240" s="18">
        <f>134+1133+5125</f>
        <v>6392</v>
      </c>
      <c r="I240" s="18">
        <f>5321+47203</f>
        <v>52524</v>
      </c>
      <c r="J240" s="18"/>
      <c r="K240" s="18">
        <f>131</f>
        <v>131</v>
      </c>
      <c r="L240" s="13">
        <f t="shared" si="4"/>
        <v>280803</v>
      </c>
      <c r="M240" s="8"/>
      <c r="N240" s="164"/>
    </row>
    <row r="241" spans="1:14" s="3" customFormat="1" ht="12.2" customHeight="1" x14ac:dyDescent="0.15">
      <c r="A241" s="1" t="s">
        <v>444</v>
      </c>
      <c r="B241" s="2" t="s">
        <v>350</v>
      </c>
      <c r="C241" s="2" t="s">
        <v>296</v>
      </c>
      <c r="D241" s="2" t="s">
        <v>431</v>
      </c>
      <c r="E241" s="6">
        <v>2300</v>
      </c>
      <c r="F241" s="18">
        <f>6711+107940+75697+38069+42226+60168</f>
        <v>330811</v>
      </c>
      <c r="G241" s="18">
        <f>879+61242+35737+21357+29773+37412</f>
        <v>186400</v>
      </c>
      <c r="H241" s="18">
        <f>37325+50518+7273+33533+800</f>
        <v>129449</v>
      </c>
      <c r="I241" s="18">
        <f>106+28280+196+31599</f>
        <v>60181</v>
      </c>
      <c r="J241" s="18">
        <f>16865+788</f>
        <v>17653</v>
      </c>
      <c r="K241" s="18">
        <f>1950+997</f>
        <v>2947</v>
      </c>
      <c r="L241" s="13">
        <f t="shared" si="4"/>
        <v>727441</v>
      </c>
      <c r="M241" s="8"/>
      <c r="N241" s="164"/>
    </row>
    <row r="242" spans="1:14" s="3" customFormat="1" ht="12.2" customHeight="1" x14ac:dyDescent="0.15">
      <c r="A242" s="1" t="s">
        <v>445</v>
      </c>
      <c r="B242" s="2" t="s">
        <v>350</v>
      </c>
      <c r="C242" s="2" t="s">
        <v>297</v>
      </c>
      <c r="D242" s="2" t="s">
        <v>431</v>
      </c>
      <c r="E242" s="6">
        <v>2400</v>
      </c>
      <c r="F242" s="18">
        <f>313789+29870</f>
        <v>343659</v>
      </c>
      <c r="G242" s="18">
        <f>155169+15866</f>
        <v>171035</v>
      </c>
      <c r="H242" s="18">
        <v>7647</v>
      </c>
      <c r="I242" s="18">
        <v>3379</v>
      </c>
      <c r="J242" s="18">
        <f>2362+2475+18624</f>
        <v>23461</v>
      </c>
      <c r="K242" s="18">
        <v>8177</v>
      </c>
      <c r="L242" s="13">
        <f t="shared" si="4"/>
        <v>557358</v>
      </c>
      <c r="M242" s="8"/>
      <c r="N242" s="164"/>
    </row>
    <row r="243" spans="1:14" s="3" customFormat="1" ht="12.2" customHeight="1" x14ac:dyDescent="0.15">
      <c r="A243" s="1" t="s">
        <v>446</v>
      </c>
      <c r="B243" s="2" t="s">
        <v>350</v>
      </c>
      <c r="C243" s="2" t="s">
        <v>298</v>
      </c>
      <c r="D243" s="2" t="s">
        <v>431</v>
      </c>
      <c r="E243" s="6">
        <v>2500</v>
      </c>
      <c r="F243" s="18">
        <f>86242+1441</f>
        <v>87683</v>
      </c>
      <c r="G243" s="18">
        <f>40785+742</f>
        <v>41527</v>
      </c>
      <c r="H243" s="18">
        <f>10741</f>
        <v>10741</v>
      </c>
      <c r="I243" s="18"/>
      <c r="J243" s="18"/>
      <c r="K243" s="18"/>
      <c r="L243" s="13">
        <f t="shared" si="4"/>
        <v>139951</v>
      </c>
      <c r="M243" s="8"/>
      <c r="N243" s="164"/>
    </row>
    <row r="244" spans="1:14" s="3" customFormat="1" ht="12.2" customHeight="1" x14ac:dyDescent="0.15">
      <c r="A244" s="1" t="s">
        <v>447</v>
      </c>
      <c r="B244" s="2" t="s">
        <v>350</v>
      </c>
      <c r="C244" s="2" t="s">
        <v>299</v>
      </c>
      <c r="D244" s="2" t="s">
        <v>431</v>
      </c>
      <c r="E244" s="6">
        <v>2600</v>
      </c>
      <c r="F244" s="18">
        <f>38032+119896</f>
        <v>157928</v>
      </c>
      <c r="G244" s="18">
        <f>29137+66505</f>
        <v>95642</v>
      </c>
      <c r="H244" s="18">
        <f>261528+21512+108543+97</f>
        <v>391680</v>
      </c>
      <c r="I244" s="18">
        <f>193671+1058</f>
        <v>194729</v>
      </c>
      <c r="J244" s="18">
        <f>1999+238</f>
        <v>2237</v>
      </c>
      <c r="K244" s="18">
        <f>565</f>
        <v>565</v>
      </c>
      <c r="L244" s="13">
        <f t="shared" si="4"/>
        <v>842781</v>
      </c>
      <c r="M244" s="8"/>
      <c r="N244" s="164"/>
    </row>
    <row r="245" spans="1:14" s="3" customFormat="1" ht="12.2" customHeight="1" x14ac:dyDescent="0.15">
      <c r="A245" s="1" t="s">
        <v>448</v>
      </c>
      <c r="B245" s="2" t="s">
        <v>350</v>
      </c>
      <c r="C245" s="2" t="s">
        <v>300</v>
      </c>
      <c r="D245" s="2" t="s">
        <v>431</v>
      </c>
      <c r="E245" s="6">
        <v>2700</v>
      </c>
      <c r="F245" s="18"/>
      <c r="G245" s="18"/>
      <c r="H245" s="18">
        <f>15862+42835+16674+294047+21663-1</f>
        <v>391080</v>
      </c>
      <c r="I245" s="18"/>
      <c r="J245" s="18"/>
      <c r="K245" s="18"/>
      <c r="L245" s="13">
        <f t="shared" si="4"/>
        <v>391080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3393170</v>
      </c>
      <c r="G248" s="38">
        <f t="shared" si="5"/>
        <v>1786473</v>
      </c>
      <c r="H248" s="38">
        <f t="shared" si="5"/>
        <v>2069799</v>
      </c>
      <c r="I248" s="38">
        <f t="shared" si="5"/>
        <v>375248</v>
      </c>
      <c r="J248" s="38">
        <f t="shared" si="5"/>
        <v>62627</v>
      </c>
      <c r="K248" s="38">
        <f t="shared" si="5"/>
        <v>30151</v>
      </c>
      <c r="L248" s="38">
        <f t="shared" si="5"/>
        <v>7717468</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f>277142+8601+134138+206793+61801+11386+126159</f>
        <v>826020</v>
      </c>
      <c r="I256" s="18"/>
      <c r="J256" s="18"/>
      <c r="K256" s="18"/>
      <c r="L256" s="13">
        <f t="shared" si="6"/>
        <v>826020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826020</v>
      </c>
      <c r="I257" s="38">
        <f t="shared" si="7"/>
        <v>0</v>
      </c>
      <c r="J257" s="38">
        <f t="shared" si="7"/>
        <v>0</v>
      </c>
      <c r="K257" s="38">
        <f t="shared" si="7"/>
        <v>0</v>
      </c>
      <c r="L257" s="38">
        <f>SUM(F257:K257)</f>
        <v>826020</v>
      </c>
      <c r="M257" s="8"/>
      <c r="N257" s="164"/>
    </row>
    <row r="258" spans="1:14" s="3" customFormat="1" ht="12.2" customHeight="1" thickTop="1" x14ac:dyDescent="0.15">
      <c r="A258" s="35" t="s">
        <v>462</v>
      </c>
      <c r="B258" s="37">
        <v>10</v>
      </c>
      <c r="C258" s="37">
        <v>8</v>
      </c>
      <c r="D258" s="36" t="s">
        <v>431</v>
      </c>
      <c r="E258" s="37"/>
      <c r="F258" s="38">
        <f t="shared" ref="F258:L258" si="8">F212+F230+F248+F257</f>
        <v>11313875</v>
      </c>
      <c r="G258" s="38">
        <f t="shared" si="8"/>
        <v>5792176</v>
      </c>
      <c r="H258" s="38">
        <f t="shared" si="8"/>
        <v>6094542</v>
      </c>
      <c r="I258" s="38">
        <f t="shared" si="8"/>
        <v>948935</v>
      </c>
      <c r="J258" s="38">
        <f t="shared" si="8"/>
        <v>136935</v>
      </c>
      <c r="K258" s="38">
        <f t="shared" si="8"/>
        <v>67600</v>
      </c>
      <c r="L258" s="38">
        <f t="shared" si="8"/>
        <v>24354063</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232088</v>
      </c>
      <c r="L261" s="13">
        <f>SUM(F261:K261)</f>
        <v>232088</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6513</v>
      </c>
      <c r="L262" s="13">
        <f>SUM(F262:K262)</f>
        <v>6513</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258620</v>
      </c>
      <c r="L266" s="13">
        <f t="shared" si="9"/>
        <v>258620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497221</v>
      </c>
      <c r="L271" s="38">
        <f t="shared" si="9"/>
        <v>497221</v>
      </c>
      <c r="M271" s="8"/>
      <c r="N271" s="164"/>
    </row>
    <row r="272" spans="1:14" s="33" customFormat="1" ht="12.2" customHeight="1" thickTop="1" x14ac:dyDescent="0.2">
      <c r="A272" s="40" t="s">
        <v>464</v>
      </c>
      <c r="B272" s="37">
        <v>10</v>
      </c>
      <c r="C272" s="37">
        <v>18</v>
      </c>
      <c r="D272" s="36" t="s">
        <v>431</v>
      </c>
      <c r="E272" s="37"/>
      <c r="F272" s="39">
        <f t="shared" ref="F272:L272" si="11">F258+F271</f>
        <v>11313875</v>
      </c>
      <c r="G272" s="39">
        <f t="shared" si="11"/>
        <v>5792176</v>
      </c>
      <c r="H272" s="39">
        <f t="shared" si="11"/>
        <v>6094542</v>
      </c>
      <c r="I272" s="39">
        <f t="shared" si="11"/>
        <v>948935</v>
      </c>
      <c r="J272" s="39">
        <f t="shared" si="11"/>
        <v>136935</v>
      </c>
      <c r="K272" s="39">
        <f t="shared" si="11"/>
        <v>564821</v>
      </c>
      <c r="L272" s="39">
        <f t="shared" si="11"/>
        <v>24851284</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168472+1500+4552</f>
        <v>174524</v>
      </c>
      <c r="G277" s="18">
        <f>91361+111+252+2367</f>
        <v>94091</v>
      </c>
      <c r="H277" s="18"/>
      <c r="I277" s="18">
        <f>85483+5919</f>
        <v>91402</v>
      </c>
      <c r="J277" s="18"/>
      <c r="K277" s="18"/>
      <c r="L277" s="13">
        <f>SUM(F277:K277)</f>
        <v>360017</v>
      </c>
      <c r="M277" s="8"/>
      <c r="N277" s="164"/>
    </row>
    <row r="278" spans="1:14" s="3" customFormat="1" ht="12.2" customHeight="1" x14ac:dyDescent="0.15">
      <c r="A278" s="1" t="s">
        <v>439</v>
      </c>
      <c r="B278" s="2" t="s">
        <v>357</v>
      </c>
      <c r="C278" s="2" t="s">
        <v>291</v>
      </c>
      <c r="D278" s="2" t="s">
        <v>431</v>
      </c>
      <c r="E278" s="6">
        <v>1200</v>
      </c>
      <c r="F278" s="18">
        <f>105862-26000</f>
        <v>79862</v>
      </c>
      <c r="G278" s="18">
        <f>41252+972+40+8+6+352+903+1+5-18023</f>
        <v>25516</v>
      </c>
      <c r="H278" s="18">
        <f>38442+10206+4056+10743+440</f>
        <v>63887</v>
      </c>
      <c r="I278" s="18">
        <f>4781-774</f>
        <v>4007</v>
      </c>
      <c r="J278" s="18"/>
      <c r="K278" s="18"/>
      <c r="L278" s="13">
        <f>SUM(F278:K278)</f>
        <v>173272</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f>113+20983+65</f>
        <v>21161</v>
      </c>
      <c r="G280" s="18">
        <f>1604+3267+5+13</f>
        <v>4889</v>
      </c>
      <c r="H280" s="18"/>
      <c r="I280" s="18">
        <f>20635</f>
        <v>20635</v>
      </c>
      <c r="J280" s="18"/>
      <c r="K280" s="18"/>
      <c r="L280" s="13">
        <f>SUM(F280:K280)</f>
        <v>46685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88016+1131+1274</f>
        <v>90421</v>
      </c>
      <c r="G282" s="18">
        <f>27051+277+85+95+250</f>
        <v>27758</v>
      </c>
      <c r="H282" s="18"/>
      <c r="I282" s="18">
        <f>1075+2449+766</f>
        <v>4290</v>
      </c>
      <c r="J282" s="18"/>
      <c r="K282" s="18"/>
      <c r="L282" s="13">
        <f t="shared" ref="L282:L288" si="12">SUM(F282:K282)</f>
        <v>122469</v>
      </c>
      <c r="M282" s="8"/>
      <c r="N282" s="164"/>
    </row>
    <row r="283" spans="1:14" s="3" customFormat="1" ht="12.2" customHeight="1" x14ac:dyDescent="0.15">
      <c r="A283" s="1" t="s">
        <v>443</v>
      </c>
      <c r="B283" s="2" t="s">
        <v>357</v>
      </c>
      <c r="C283" s="2" t="s">
        <v>295</v>
      </c>
      <c r="D283" s="2" t="s">
        <v>431</v>
      </c>
      <c r="E283" s="6">
        <v>2200</v>
      </c>
      <c r="F283" s="18">
        <f>3780+280</f>
        <v>4060</v>
      </c>
      <c r="G283" s="18">
        <f>277+20+742+55</f>
        <v>1094</v>
      </c>
      <c r="H283" s="18">
        <f>2361+711+2000+5000+24+6900+9275+2922+350+1575+2180+2270-25</f>
        <v>35543</v>
      </c>
      <c r="I283" s="18">
        <f>35</f>
        <v>35</v>
      </c>
      <c r="J283" s="18"/>
      <c r="K283" s="18"/>
      <c r="L283" s="13">
        <f t="shared" si="12"/>
        <v>40732</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f>3173+4883+3114</f>
        <v>11170</v>
      </c>
      <c r="I288" s="18"/>
      <c r="J288" s="18"/>
      <c r="K288" s="18"/>
      <c r="L288" s="13">
        <f t="shared" si="12"/>
        <v>11170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370028</v>
      </c>
      <c r="G291" s="39">
        <f t="shared" si="13"/>
        <v>153348</v>
      </c>
      <c r="H291" s="39">
        <f t="shared" si="13"/>
        <v>110600</v>
      </c>
      <c r="I291" s="39">
        <f t="shared" si="13"/>
        <v>120369</v>
      </c>
      <c r="J291" s="39">
        <f t="shared" si="13"/>
        <v>0</v>
      </c>
      <c r="K291" s="39">
        <f t="shared" si="13"/>
        <v>0</v>
      </c>
      <c r="L291" s="38">
        <f t="shared" si="13"/>
        <v>754345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1286+1500</f>
        <v>2786</v>
      </c>
      <c r="G296" s="18">
        <f>95+217+365</f>
        <v>677</v>
      </c>
      <c r="H296" s="18"/>
      <c r="I296" s="18">
        <f>3491+29260+5074+3115</f>
        <v>40940</v>
      </c>
      <c r="J296" s="18">
        <f>6678</f>
        <v>6678</v>
      </c>
      <c r="K296" s="18"/>
      <c r="L296" s="13">
        <f>SUM(F296:K296)</f>
        <v>51081</v>
      </c>
      <c r="M296" s="8"/>
      <c r="N296" s="164"/>
    </row>
    <row r="297" spans="1:14" s="3" customFormat="1" ht="12.2" customHeight="1" x14ac:dyDescent="0.15">
      <c r="A297" s="1" t="s">
        <v>439</v>
      </c>
      <c r="B297" s="2" t="s">
        <v>358</v>
      </c>
      <c r="C297" s="2" t="s">
        <v>291</v>
      </c>
      <c r="D297" s="2" t="s">
        <v>431</v>
      </c>
      <c r="E297" s="6">
        <v>1200</v>
      </c>
      <c r="F297" s="18">
        <f>66832+5820</f>
        <v>72652</v>
      </c>
      <c r="G297" s="18">
        <f>26043+74+8+6+445+1143+5</f>
        <v>27724</v>
      </c>
      <c r="H297" s="18">
        <f>32950+8748+3476+9208</f>
        <v>54382</v>
      </c>
      <c r="I297" s="18"/>
      <c r="J297" s="18"/>
      <c r="K297" s="18"/>
      <c r="L297" s="13">
        <f>SUM(F297:K297)</f>
        <v>154758</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f>1691</f>
        <v>1691</v>
      </c>
      <c r="G299" s="18">
        <f>69+177</f>
        <v>246</v>
      </c>
      <c r="H299" s="18"/>
      <c r="I299" s="18"/>
      <c r="J299" s="18"/>
      <c r="K299" s="18"/>
      <c r="L299" s="13">
        <f>SUM(F299:K299)</f>
        <v>1937</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f>75443+970+24210</f>
        <v>100623</v>
      </c>
      <c r="G301" s="18">
        <f>23187+237+73+6736</f>
        <v>30233</v>
      </c>
      <c r="H301" s="18">
        <f>74775</f>
        <v>74775</v>
      </c>
      <c r="I301" s="18">
        <f>1075+2449+656+146</f>
        <v>4326</v>
      </c>
      <c r="J301" s="18"/>
      <c r="K301" s="18"/>
      <c r="L301" s="13">
        <f t="shared" ref="L301:L307" si="14">SUM(F301:K301)</f>
        <v>209957</v>
      </c>
      <c r="M301" s="8"/>
      <c r="N301" s="164"/>
    </row>
    <row r="302" spans="1:14" s="3" customFormat="1" ht="12.2" customHeight="1" x14ac:dyDescent="0.15">
      <c r="A302" s="1" t="s">
        <v>443</v>
      </c>
      <c r="B302" s="2" t="s">
        <v>358</v>
      </c>
      <c r="C302" s="2" t="s">
        <v>295</v>
      </c>
      <c r="D302" s="2" t="s">
        <v>431</v>
      </c>
      <c r="E302" s="6">
        <v>2200</v>
      </c>
      <c r="F302" s="18">
        <f>3240+240</f>
        <v>3480</v>
      </c>
      <c r="G302" s="18">
        <f>237+17+636+47+1</f>
        <v>938</v>
      </c>
      <c r="H302" s="18">
        <f>2024+609+629+13125+12600+2491+7950+2505+300+1350+1869+1946</f>
        <v>47398</v>
      </c>
      <c r="I302" s="18">
        <f>30</f>
        <v>30</v>
      </c>
      <c r="J302" s="18"/>
      <c r="K302" s="18"/>
      <c r="L302" s="13">
        <f t="shared" si="14"/>
        <v>51846</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f>302416</f>
        <v>302416</v>
      </c>
      <c r="I306" s="18">
        <v>21387</v>
      </c>
      <c r="J306" s="18">
        <f>9298</f>
        <v>9298</v>
      </c>
      <c r="K306" s="18"/>
      <c r="L306" s="13">
        <f t="shared" si="14"/>
        <v>333101</v>
      </c>
      <c r="M306" s="8"/>
      <c r="N306" s="164"/>
    </row>
    <row r="307" spans="1:14" s="3" customFormat="1" ht="12.2" customHeight="1" x14ac:dyDescent="0.15">
      <c r="A307" s="1" t="s">
        <v>448</v>
      </c>
      <c r="B307" s="2" t="s">
        <v>358</v>
      </c>
      <c r="C307" s="2" t="s">
        <v>300</v>
      </c>
      <c r="D307" s="2" t="s">
        <v>431</v>
      </c>
      <c r="E307" s="6">
        <v>2700</v>
      </c>
      <c r="F307" s="18"/>
      <c r="G307" s="18"/>
      <c r="H307" s="18">
        <f>2720+921+4186+2669</f>
        <v>10496</v>
      </c>
      <c r="I307" s="18"/>
      <c r="J307" s="18"/>
      <c r="K307" s="18"/>
      <c r="L307" s="13">
        <f t="shared" si="14"/>
        <v>10496</v>
      </c>
      <c r="M307" s="8"/>
      <c r="N307" s="164"/>
    </row>
    <row r="308" spans="1:14" s="3" customFormat="1" ht="12.2" customHeight="1" x14ac:dyDescent="0.15">
      <c r="A308" s="1" t="s">
        <v>449</v>
      </c>
      <c r="B308" s="2" t="s">
        <v>358</v>
      </c>
      <c r="C308" s="2" t="s">
        <v>343</v>
      </c>
      <c r="D308" s="2" t="s">
        <v>431</v>
      </c>
      <c r="E308" s="6">
        <v>2800</v>
      </c>
      <c r="F308" s="18"/>
      <c r="G308" s="18"/>
      <c r="H308" s="18"/>
      <c r="I308" s="18"/>
      <c r="J308" s="18">
        <v>4235</v>
      </c>
      <c r="K308" s="18"/>
      <c r="L308" s="13">
        <f>SUM(F308:K308)</f>
        <v>4235</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181232</v>
      </c>
      <c r="G310" s="39">
        <f t="shared" si="15"/>
        <v>59818</v>
      </c>
      <c r="H310" s="39">
        <f t="shared" si="15"/>
        <v>489467</v>
      </c>
      <c r="I310" s="39">
        <f t="shared" si="15"/>
        <v>66683</v>
      </c>
      <c r="J310" s="39">
        <f t="shared" si="15"/>
        <v>20211</v>
      </c>
      <c r="K310" s="39">
        <f t="shared" si="15"/>
        <v>0</v>
      </c>
      <c r="L310" s="38">
        <f t="shared" si="15"/>
        <v>817411</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21371</f>
        <v>21371</v>
      </c>
      <c r="G315" s="18">
        <f>11348</f>
        <v>11348</v>
      </c>
      <c r="H315" s="18"/>
      <c r="I315" s="18">
        <f>4552+261047+29260+5919-912-3647</f>
        <v>296219</v>
      </c>
      <c r="J315" s="18">
        <f>20614</f>
        <v>20614</v>
      </c>
      <c r="K315" s="18"/>
      <c r="L315" s="13">
        <f>SUM(F315:K315)</f>
        <v>349552</v>
      </c>
      <c r="M315" s="8"/>
      <c r="N315" s="164"/>
    </row>
    <row r="316" spans="1:14" s="3" customFormat="1" ht="12.2" customHeight="1" x14ac:dyDescent="0.15">
      <c r="A316" s="1" t="s">
        <v>439</v>
      </c>
      <c r="B316" s="2" t="s">
        <v>359</v>
      </c>
      <c r="C316" s="2" t="s">
        <v>291</v>
      </c>
      <c r="D316" s="2" t="s">
        <v>431</v>
      </c>
      <c r="E316" s="6">
        <v>1200</v>
      </c>
      <c r="F316" s="18">
        <v>44410</v>
      </c>
      <c r="G316" s="18">
        <f>19867</f>
        <v>19867</v>
      </c>
      <c r="H316" s="18">
        <f>38442+10206+4056+10743-43</f>
        <v>63404</v>
      </c>
      <c r="I316" s="18">
        <f>774</f>
        <v>774</v>
      </c>
      <c r="J316" s="18"/>
      <c r="K316" s="18"/>
      <c r="L316" s="13">
        <f>SUM(F316:K316)</f>
        <v>128455</v>
      </c>
      <c r="M316" s="8"/>
      <c r="N316" s="164"/>
    </row>
    <row r="317" spans="1:14" s="3" customFormat="1" ht="12.2" customHeight="1" x14ac:dyDescent="0.15">
      <c r="A317" s="1" t="s">
        <v>440</v>
      </c>
      <c r="B317" s="2" t="s">
        <v>359</v>
      </c>
      <c r="C317" s="2" t="s">
        <v>292</v>
      </c>
      <c r="D317" s="2" t="s">
        <v>431</v>
      </c>
      <c r="E317" s="6">
        <v>1300</v>
      </c>
      <c r="F317" s="18"/>
      <c r="G317" s="18"/>
      <c r="H317" s="18"/>
      <c r="I317" s="18">
        <v>1007</v>
      </c>
      <c r="J317" s="18"/>
      <c r="K317" s="18">
        <f>2874</f>
        <v>2874</v>
      </c>
      <c r="L317" s="13">
        <f>SUM(F317:K317)</f>
        <v>3881</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88016+1131</f>
        <v>89147</v>
      </c>
      <c r="G320" s="18">
        <f>27051+277+85</f>
        <v>27413</v>
      </c>
      <c r="H320" s="18">
        <f>74775</f>
        <v>74775</v>
      </c>
      <c r="I320" s="18">
        <f>1075+2449+766</f>
        <v>4290</v>
      </c>
      <c r="J320" s="18"/>
      <c r="K320" s="18"/>
      <c r="L320" s="13">
        <f t="shared" ref="L320:L326" si="16">SUM(F320:K320)</f>
        <v>195625</v>
      </c>
      <c r="M320" s="8"/>
      <c r="N320" s="164"/>
    </row>
    <row r="321" spans="1:14" s="3" customFormat="1" ht="12.2" customHeight="1" x14ac:dyDescent="0.15">
      <c r="A321" s="1" t="s">
        <v>443</v>
      </c>
      <c r="B321" s="2" t="s">
        <v>359</v>
      </c>
      <c r="C321" s="2" t="s">
        <v>295</v>
      </c>
      <c r="D321" s="2" t="s">
        <v>431</v>
      </c>
      <c r="E321" s="6">
        <v>2200</v>
      </c>
      <c r="F321" s="18">
        <f>3780+280</f>
        <v>4060</v>
      </c>
      <c r="G321" s="18">
        <f>277+20+742+55</f>
        <v>1094</v>
      </c>
      <c r="H321" s="18">
        <f>2361+711+695+334+1111+9275+2922+350+1575+2180+2270</f>
        <v>23784</v>
      </c>
      <c r="I321" s="18">
        <f>35</f>
        <v>35</v>
      </c>
      <c r="J321" s="18"/>
      <c r="K321" s="18"/>
      <c r="L321" s="13">
        <f t="shared" si="16"/>
        <v>28973</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f>302416</f>
        <v>302416</v>
      </c>
      <c r="I325" s="18"/>
      <c r="J325" s="18"/>
      <c r="K325" s="18"/>
      <c r="L325" s="13">
        <f t="shared" si="16"/>
        <v>302416</v>
      </c>
      <c r="M325" s="8"/>
      <c r="N325" s="164"/>
    </row>
    <row r="326" spans="1:14" s="3" customFormat="1" ht="12.2" customHeight="1" x14ac:dyDescent="0.15">
      <c r="A326" s="1" t="s">
        <v>448</v>
      </c>
      <c r="B326" s="2" t="s">
        <v>359</v>
      </c>
      <c r="C326" s="2" t="s">
        <v>300</v>
      </c>
      <c r="D326" s="2" t="s">
        <v>431</v>
      </c>
      <c r="E326" s="6">
        <v>2700</v>
      </c>
      <c r="F326" s="18"/>
      <c r="G326" s="18"/>
      <c r="H326" s="18">
        <f>3173+26288+4883+3114</f>
        <v>37458</v>
      </c>
      <c r="I326" s="18"/>
      <c r="J326" s="18"/>
      <c r="K326" s="18"/>
      <c r="L326" s="13">
        <f t="shared" si="16"/>
        <v>37458</v>
      </c>
      <c r="M326" s="8"/>
      <c r="N326" s="164"/>
    </row>
    <row r="327" spans="1:14" s="3" customFormat="1" ht="12.2" customHeight="1" x14ac:dyDescent="0.15">
      <c r="A327" s="1" t="s">
        <v>449</v>
      </c>
      <c r="B327" s="2" t="s">
        <v>359</v>
      </c>
      <c r="C327" s="2" t="s">
        <v>343</v>
      </c>
      <c r="D327" s="2" t="s">
        <v>431</v>
      </c>
      <c r="E327" s="6">
        <v>2800</v>
      </c>
      <c r="F327" s="18"/>
      <c r="G327" s="18"/>
      <c r="H327" s="18"/>
      <c r="I327" s="18"/>
      <c r="J327" s="18">
        <v>4235</v>
      </c>
      <c r="K327" s="18"/>
      <c r="L327" s="13">
        <f>SUM(F327:K327)</f>
        <v>4235</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158988</v>
      </c>
      <c r="G329" s="39">
        <f t="shared" si="17"/>
        <v>59722</v>
      </c>
      <c r="H329" s="39">
        <f t="shared" si="17"/>
        <v>501837</v>
      </c>
      <c r="I329" s="39">
        <f t="shared" si="17"/>
        <v>302325</v>
      </c>
      <c r="J329" s="39">
        <f t="shared" si="17"/>
        <v>24849</v>
      </c>
      <c r="K329" s="39">
        <f t="shared" si="17"/>
        <v>2874</v>
      </c>
      <c r="L329" s="38">
        <f t="shared" si="17"/>
        <v>1050595</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710248</v>
      </c>
      <c r="G339" s="38">
        <f t="shared" si="20"/>
        <v>272888</v>
      </c>
      <c r="H339" s="38">
        <f t="shared" si="20"/>
        <v>1101904</v>
      </c>
      <c r="I339" s="38">
        <f t="shared" si="20"/>
        <v>489377</v>
      </c>
      <c r="J339" s="38">
        <f t="shared" si="20"/>
        <v>45060</v>
      </c>
      <c r="K339" s="38">
        <f t="shared" si="20"/>
        <v>2874</v>
      </c>
      <c r="L339" s="38">
        <f t="shared" si="20"/>
        <v>2622351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f>438+438+375+1128+537+551+23850</f>
        <v>27317</v>
      </c>
      <c r="L345" s="13">
        <f t="shared" ref="L345:L351" si="21">SUM(F345:K345)</f>
        <v>27317</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27317</v>
      </c>
      <c r="L352" s="38">
        <f>SUM(L342:L351)</f>
        <v>27317</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710248</v>
      </c>
      <c r="G353" s="38">
        <f>G339</f>
        <v>272888</v>
      </c>
      <c r="H353" s="38">
        <f>H339</f>
        <v>1101904</v>
      </c>
      <c r="I353" s="38">
        <f>I339</f>
        <v>489377</v>
      </c>
      <c r="J353" s="38">
        <f>J339</f>
        <v>45060</v>
      </c>
      <c r="K353" s="38">
        <f>K339+K352</f>
        <v>30191</v>
      </c>
      <c r="L353" s="38">
        <f>L339+L352</f>
        <v>2649668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31141+40964+5381+1782+1782+24167</f>
        <v>105217</v>
      </c>
      <c r="G359" s="18">
        <f>435+8261+3+27+55+406+2382+3022+1+1+13+411+525+12064</f>
        <v>27606</v>
      </c>
      <c r="H359" s="18"/>
      <c r="I359" s="18">
        <f>8007+14923+91652-6</f>
        <v>114576</v>
      </c>
      <c r="J359" s="18">
        <v>17764</v>
      </c>
      <c r="K359" s="18">
        <v>2029</v>
      </c>
      <c r="L359" s="13">
        <f>SUM(F359:K359)</f>
        <v>267192</v>
      </c>
      <c r="M359" s="8"/>
      <c r="N359" s="164"/>
    </row>
    <row r="360" spans="1:22" s="3" customFormat="1" ht="12.2" customHeight="1" x14ac:dyDescent="0.15">
      <c r="A360" s="1" t="s">
        <v>542</v>
      </c>
      <c r="B360" s="2" t="s">
        <v>366</v>
      </c>
      <c r="C360" s="6">
        <v>2</v>
      </c>
      <c r="D360" s="2" t="s">
        <v>431</v>
      </c>
      <c r="E360" s="6"/>
      <c r="F360" s="18">
        <f>50231+1782+24167</f>
        <v>76180</v>
      </c>
      <c r="G360" s="18">
        <f>55+3843+1+617+12064</f>
        <v>16580</v>
      </c>
      <c r="H360" s="18"/>
      <c r="I360" s="18">
        <f>78559</f>
        <v>78559</v>
      </c>
      <c r="J360" s="18">
        <v>15226</v>
      </c>
      <c r="K360" s="18">
        <v>1740</v>
      </c>
      <c r="L360" s="13">
        <f>SUM(F360:K360)</f>
        <v>188285</v>
      </c>
      <c r="M360" s="8"/>
      <c r="N360" s="164"/>
    </row>
    <row r="361" spans="1:22" s="3" customFormat="1" ht="12.2" customHeight="1" x14ac:dyDescent="0.15">
      <c r="A361" s="3" t="s">
        <v>543</v>
      </c>
      <c r="B361" s="2" t="s">
        <v>366</v>
      </c>
      <c r="C361" s="6">
        <v>3</v>
      </c>
      <c r="D361" s="2" t="s">
        <v>431</v>
      </c>
      <c r="E361" s="6"/>
      <c r="F361" s="18">
        <f>83924+1782+24167</f>
        <v>109873</v>
      </c>
      <c r="G361" s="18">
        <f>8696+60+6305+2+1008+12064</f>
        <v>28135</v>
      </c>
      <c r="H361" s="18">
        <v>1040</v>
      </c>
      <c r="I361" s="18">
        <f>91652</f>
        <v>91652</v>
      </c>
      <c r="J361" s="18">
        <v>17764</v>
      </c>
      <c r="K361" s="18">
        <v>2029</v>
      </c>
      <c r="L361" s="13">
        <f>SUM(F361:K361)</f>
        <v>250493</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291270</v>
      </c>
      <c r="G363" s="38">
        <f t="shared" si="22"/>
        <v>72321</v>
      </c>
      <c r="H363" s="38">
        <f t="shared" si="22"/>
        <v>1040</v>
      </c>
      <c r="I363" s="38">
        <f t="shared" si="22"/>
        <v>284787</v>
      </c>
      <c r="J363" s="38">
        <f t="shared" si="22"/>
        <v>50754</v>
      </c>
      <c r="K363" s="38">
        <f t="shared" si="22"/>
        <v>5798</v>
      </c>
      <c r="L363" s="38">
        <f t="shared" si="22"/>
        <v>705970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8007+14923+83449+910-9</f>
        <v>107280</v>
      </c>
      <c r="G368" s="18">
        <f>71528+780</f>
        <v>72308</v>
      </c>
      <c r="H368" s="18">
        <f>83449+910</f>
        <v>84359</v>
      </c>
      <c r="I368" s="13">
        <f>SUM(F368:H368)</f>
        <v>263947</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7294</v>
      </c>
      <c r="G369" s="53">
        <v>6252</v>
      </c>
      <c r="H369" s="53">
        <v>7294</v>
      </c>
      <c r="I369" s="13">
        <f>SUM(F369:H369)</f>
        <v>20840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114574</v>
      </c>
      <c r="G370" s="38">
        <f>SUM(G368:G369)</f>
        <v>78560</v>
      </c>
      <c r="H370" s="38">
        <f>SUM(H368:H369)</f>
        <v>91653</v>
      </c>
      <c r="I370" s="38">
        <f>SUM(I368:I369)</f>
        <v>284787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f>607264+4005</f>
        <v>611269</v>
      </c>
      <c r="I377" s="18"/>
      <c r="J377" s="18"/>
      <c r="K377" s="18"/>
      <c r="L377" s="13">
        <f t="shared" si="23"/>
        <v>611269</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f>89775+6900</f>
        <v>96675</v>
      </c>
      <c r="I381" s="18"/>
      <c r="J381" s="18"/>
      <c r="K381" s="18"/>
      <c r="L381" s="13">
        <f t="shared" si="23"/>
        <v>96675</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707944</v>
      </c>
      <c r="I383" s="38">
        <f t="shared" si="24"/>
        <v>0</v>
      </c>
      <c r="J383" s="38">
        <f t="shared" si="24"/>
        <v>0</v>
      </c>
      <c r="K383" s="38">
        <f t="shared" si="24"/>
        <v>0</v>
      </c>
      <c r="L383" s="38">
        <f t="shared" si="24"/>
        <v>707944</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58424</v>
      </c>
      <c r="I390" s="18"/>
      <c r="J390" s="23" t="s">
        <v>288</v>
      </c>
      <c r="K390" s="23" t="s">
        <v>288</v>
      </c>
      <c r="L390" s="13">
        <f t="shared" si="25"/>
        <v>58424</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58424</v>
      </c>
      <c r="I394" s="54">
        <f>SUM(I388:I393)</f>
        <v>0</v>
      </c>
      <c r="J394" s="42" t="s">
        <v>288</v>
      </c>
      <c r="K394" s="42" t="s">
        <v>288</v>
      </c>
      <c r="L394" s="38">
        <f>SUM(L388:L393)</f>
        <v>58424</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2516</v>
      </c>
      <c r="I397" s="18"/>
      <c r="J397" s="23" t="s">
        <v>288</v>
      </c>
      <c r="K397" s="23" t="s">
        <v>288</v>
      </c>
      <c r="L397" s="13">
        <f t="shared" si="26"/>
        <v>2516</v>
      </c>
      <c r="M397" s="8"/>
      <c r="N397" s="164"/>
    </row>
    <row r="398" spans="1:14" s="3" customFormat="1" ht="12.2" customHeight="1" x14ac:dyDescent="0.15">
      <c r="A398" s="62" t="s">
        <v>515</v>
      </c>
      <c r="B398" s="2" t="s">
        <v>381</v>
      </c>
      <c r="C398" s="6">
        <v>10</v>
      </c>
      <c r="D398" s="2" t="s">
        <v>432</v>
      </c>
      <c r="E398" s="6"/>
      <c r="F398" s="18"/>
      <c r="G398" s="18"/>
      <c r="H398" s="18">
        <v>26534</v>
      </c>
      <c r="I398" s="18"/>
      <c r="J398" s="23" t="s">
        <v>288</v>
      </c>
      <c r="K398" s="23" t="s">
        <v>288</v>
      </c>
      <c r="L398" s="13">
        <f t="shared" si="26"/>
        <v>26534</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f>1054+64</f>
        <v>1118</v>
      </c>
      <c r="I401" s="18"/>
      <c r="J401" s="23" t="s">
        <v>288</v>
      </c>
      <c r="K401" s="23" t="s">
        <v>288</v>
      </c>
      <c r="L401" s="13">
        <f t="shared" si="26"/>
        <v>1118</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30168</v>
      </c>
      <c r="I402" s="38">
        <f>SUM(I396:I401)</f>
        <v>0</v>
      </c>
      <c r="J402" s="42" t="s">
        <v>288</v>
      </c>
      <c r="K402" s="42" t="s">
        <v>288</v>
      </c>
      <c r="L402" s="38">
        <f>SUM(L396:L401)</f>
        <v>30168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0</v>
      </c>
      <c r="H409" s="38">
        <f>H394+H402+H408</f>
        <v>88592</v>
      </c>
      <c r="I409" s="38">
        <f>I394+I402+I408</f>
        <v>0</v>
      </c>
      <c r="J409" s="23" t="s">
        <v>288</v>
      </c>
      <c r="K409" s="23" t="s">
        <v>288</v>
      </c>
      <c r="L409" s="38">
        <f>L394+L402+L408</f>
        <v>88592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v>352873</v>
      </c>
      <c r="L416" s="13">
        <f t="shared" si="27"/>
        <v>352873</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352873</v>
      </c>
      <c r="L420" s="38">
        <f t="shared" si="28"/>
        <v>352873</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352873</v>
      </c>
      <c r="L435" s="38">
        <f t="shared" si="32"/>
        <v>352873</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1192471</v>
      </c>
      <c r="G440" s="18">
        <f>1916718-1192472</f>
        <v>724246</v>
      </c>
      <c r="H440" s="18"/>
      <c r="I440" s="13">
        <f t="shared" ref="I440:I446" si="33">SUM(F440:H440)</f>
        <v>1916717</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1192471</v>
      </c>
      <c r="G447" s="13">
        <f>SUM(G440:G446)</f>
        <v>724246</v>
      </c>
      <c r="H447" s="13">
        <f>SUM(H440:H446)</f>
        <v>0</v>
      </c>
      <c r="I447" s="13">
        <f>SUM(I440:I446)</f>
        <v>1916717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1192471</v>
      </c>
      <c r="G460" s="18">
        <v>724246</v>
      </c>
      <c r="H460" s="18"/>
      <c r="I460" s="13">
        <f t="shared" si="34"/>
        <v>1916717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1192471</v>
      </c>
      <c r="G461" s="65">
        <f>SUM(G455:G460)</f>
        <v>724246</v>
      </c>
      <c r="H461" s="65">
        <f>SUM(H455:H460)</f>
        <v>0</v>
      </c>
      <c r="I461" s="65">
        <f>SUM(I455:I460)</f>
        <v>1916717</v>
      </c>
      <c r="J461" s="23" t="s">
        <v>288</v>
      </c>
      <c r="K461" s="23" t="s">
        <v>288</v>
      </c>
      <c r="L461" s="23" t="s">
        <v>288</v>
      </c>
      <c r="N461" s="130"/>
    </row>
    <row r="462" spans="1:86" ht="12.2" customHeight="1" thickTop="1" x14ac:dyDescent="0.2">
      <c r="A462" s="40" t="s">
        <v>424</v>
      </c>
      <c r="B462" s="41">
        <v>18</v>
      </c>
      <c r="C462" s="64">
        <v>21</v>
      </c>
      <c r="D462" s="114" t="s">
        <v>432</v>
      </c>
      <c r="E462" s="64"/>
      <c r="F462" s="39">
        <f>F453+F461</f>
        <v>1192471</v>
      </c>
      <c r="G462" s="39">
        <f>G453+G461</f>
        <v>724246</v>
      </c>
      <c r="H462" s="39">
        <f>H453+H461</f>
        <v>0</v>
      </c>
      <c r="I462" s="39">
        <f>I453+I461</f>
        <v>1916717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3677428</v>
      </c>
      <c r="G466" s="18">
        <v>345099</v>
      </c>
      <c r="H466" s="18">
        <v>0</v>
      </c>
      <c r="I466" s="18"/>
      <c r="J466" s="18">
        <v>2180998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24855134</v>
      </c>
      <c r="G469" s="18">
        <v>744665</v>
      </c>
      <c r="H469" s="18">
        <f>4552+2645116</f>
        <v>2649668</v>
      </c>
      <c r="I469" s="18">
        <v>707944</v>
      </c>
      <c r="J469" s="18">
        <v>88592</v>
      </c>
      <c r="K469" s="23" t="s">
        <v>288</v>
      </c>
      <c r="L469" s="23" t="s">
        <v>288</v>
      </c>
      <c r="N469" s="130"/>
    </row>
    <row r="470" spans="1:14" ht="12.2" customHeight="1" x14ac:dyDescent="0.2">
      <c r="A470" s="71" t="s">
        <v>611</v>
      </c>
      <c r="B470" s="22">
        <v>19</v>
      </c>
      <c r="C470" s="31">
        <v>3</v>
      </c>
      <c r="D470" s="2" t="s">
        <v>432</v>
      </c>
      <c r="E470" s="31"/>
      <c r="F470" s="18">
        <v>29883</v>
      </c>
      <c r="G470" s="18">
        <v>19005</v>
      </c>
      <c r="H470" s="18"/>
      <c r="I470" s="18"/>
      <c r="J470" s="18"/>
      <c r="K470" s="23" t="s">
        <v>288</v>
      </c>
      <c r="L470" s="23" t="s">
        <v>288</v>
      </c>
      <c r="N470" s="130"/>
    </row>
    <row r="471" spans="1:14" ht="12.2" customHeight="1" x14ac:dyDescent="0.2">
      <c r="A471" s="32" t="s">
        <v>425</v>
      </c>
      <c r="B471" s="22">
        <v>19</v>
      </c>
      <c r="C471" s="31">
        <v>4</v>
      </c>
      <c r="D471" s="2" t="s">
        <v>432</v>
      </c>
      <c r="E471" s="31"/>
      <c r="F471" s="19">
        <f>SUM(F469:F470)</f>
        <v>24885017</v>
      </c>
      <c r="G471" s="19">
        <f>SUM(G469:G470)</f>
        <v>763670</v>
      </c>
      <c r="H471" s="19">
        <f>SUM(H469:H470)</f>
        <v>2649668</v>
      </c>
      <c r="I471" s="19">
        <f>SUM(I469:I470)</f>
        <v>707944</v>
      </c>
      <c r="J471" s="19">
        <f>SUM(J469:J470)</f>
        <v>88592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24851284</v>
      </c>
      <c r="G473" s="18">
        <v>705970</v>
      </c>
      <c r="H473" s="18">
        <f>L353</f>
        <v>2649668</v>
      </c>
      <c r="I473" s="18">
        <v>707944</v>
      </c>
      <c r="J473" s="18">
        <v>352873</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24851284</v>
      </c>
      <c r="G475" s="19">
        <f>SUM(G473:G474)</f>
        <v>705970</v>
      </c>
      <c r="H475" s="19">
        <f>SUM(H473:H474)</f>
        <v>2649668</v>
      </c>
      <c r="I475" s="19">
        <f>SUM(I473:I474)</f>
        <v>707944</v>
      </c>
      <c r="J475" s="19">
        <f>SUM(J473:J474)</f>
        <v>352873</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3711161</v>
      </c>
      <c r="G477" s="19">
        <f>(G466+G471)- G475</f>
        <v>402799</v>
      </c>
      <c r="H477" s="19">
        <f>(H466+H471)- H475</f>
        <v>0</v>
      </c>
      <c r="I477" s="19">
        <f>(I466+I471)- I475</f>
        <v>0</v>
      </c>
      <c r="J477" s="19">
        <f>(J466+J471)- J475</f>
        <v>1916717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1841</v>
      </c>
      <c r="B481" s="73"/>
      <c r="C481" s="73"/>
      <c r="D481" s="73"/>
      <c r="E481" s="73"/>
      <c r="F481" s="73"/>
      <c r="G481" s="73"/>
      <c r="H481" s="73"/>
      <c r="I481" s="73" t="s">
        <v>401</v>
      </c>
      <c r="J481" s="73"/>
      <c r="K481" s="73"/>
      <c r="L481" s="73"/>
      <c r="N481" s="130"/>
    </row>
    <row r="482" spans="1:14" ht="12.2" customHeight="1" x14ac:dyDescent="0.2">
      <c r="A482" s="18" t="s">
        <v>1842</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1843</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1844</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3396240</v>
      </c>
      <c r="G494" s="18"/>
      <c r="H494" s="18"/>
      <c r="I494" s="18"/>
      <c r="J494" s="18"/>
      <c r="K494" s="23" t="s">
        <v>288</v>
      </c>
      <c r="L494" s="23" t="s">
        <v>288</v>
      </c>
      <c r="N494" s="130"/>
    </row>
    <row r="495" spans="1:14" ht="12.2" customHeight="1" x14ac:dyDescent="0.2">
      <c r="A495" s="21" t="s">
        <v>618</v>
      </c>
      <c r="B495" s="22">
        <v>20</v>
      </c>
      <c r="C495" s="22">
        <v>5</v>
      </c>
      <c r="D495" s="2" t="s">
        <v>432</v>
      </c>
      <c r="E495" s="22"/>
      <c r="F495" s="18">
        <v>1.4</v>
      </c>
      <c r="G495" s="18"/>
      <c r="H495" s="18"/>
      <c r="I495" s="18"/>
      <c r="J495" s="18"/>
      <c r="K495" s="23" t="s">
        <v>288</v>
      </c>
      <c r="L495" s="23" t="s">
        <v>288</v>
      </c>
      <c r="N495" s="130"/>
    </row>
    <row r="496" spans="1:14" ht="12.2" customHeight="1" x14ac:dyDescent="0.2">
      <c r="A496" s="21" t="s">
        <v>619</v>
      </c>
      <c r="B496" s="22">
        <v>20</v>
      </c>
      <c r="C496" s="22">
        <v>6</v>
      </c>
      <c r="D496" s="2" t="s">
        <v>432</v>
      </c>
      <c r="E496" s="22"/>
      <c r="F496" s="18">
        <v>465681</v>
      </c>
      <c r="G496" s="18"/>
      <c r="H496" s="18"/>
      <c r="I496" s="18"/>
      <c r="J496" s="18"/>
      <c r="K496" s="19">
        <f>SUM(F496:J496)</f>
        <v>465681</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232088</v>
      </c>
      <c r="G498" s="18"/>
      <c r="H498" s="18"/>
      <c r="I498" s="18"/>
      <c r="J498" s="18"/>
      <c r="K498" s="19">
        <f t="shared" si="35"/>
        <v>232088</v>
      </c>
      <c r="L498" s="23" t="s">
        <v>288</v>
      </c>
      <c r="N498" s="130"/>
    </row>
    <row r="499" spans="1:14" ht="12.2" customHeight="1" x14ac:dyDescent="0.2">
      <c r="A499" s="143" t="s">
        <v>622</v>
      </c>
      <c r="B499" s="144">
        <v>20</v>
      </c>
      <c r="C499" s="144">
        <v>9</v>
      </c>
      <c r="D499" s="145" t="s">
        <v>432</v>
      </c>
      <c r="E499" s="144"/>
      <c r="F499" s="146">
        <f>F496-F498</f>
        <v>233593</v>
      </c>
      <c r="G499" s="146"/>
      <c r="H499" s="146"/>
      <c r="I499" s="146"/>
      <c r="J499" s="146"/>
      <c r="K499" s="147">
        <f t="shared" si="35"/>
        <v>233593</v>
      </c>
      <c r="L499" s="148" t="s">
        <v>288</v>
      </c>
      <c r="N499" s="130"/>
    </row>
    <row r="500" spans="1:14" ht="12.2" customHeight="1" thickBot="1" x14ac:dyDescent="0.25">
      <c r="A500" s="21" t="s">
        <v>623</v>
      </c>
      <c r="B500" s="22">
        <v>20</v>
      </c>
      <c r="C500" s="22">
        <v>10</v>
      </c>
      <c r="D500" s="2" t="s">
        <v>432</v>
      </c>
      <c r="E500" s="22"/>
      <c r="F500" s="18">
        <v>3264</v>
      </c>
      <c r="G500" s="18"/>
      <c r="H500" s="18"/>
      <c r="I500" s="18"/>
      <c r="J500" s="18"/>
      <c r="K500" s="19">
        <f t="shared" si="35"/>
        <v>3264</v>
      </c>
      <c r="L500" s="23" t="s">
        <v>288</v>
      </c>
      <c r="N500" s="130"/>
    </row>
    <row r="501" spans="1:14" ht="12.2" customHeight="1" thickTop="1" x14ac:dyDescent="0.2">
      <c r="A501" s="97" t="s">
        <v>624</v>
      </c>
      <c r="B501" s="41">
        <v>20</v>
      </c>
      <c r="C501" s="41">
        <v>11</v>
      </c>
      <c r="D501" s="36" t="s">
        <v>432</v>
      </c>
      <c r="E501" s="41"/>
      <c r="F501" s="39">
        <f>SUM(F499:F500)</f>
        <v>236857</v>
      </c>
      <c r="G501" s="39">
        <f>SUM(G499:G500)</f>
        <v>0</v>
      </c>
      <c r="H501" s="39">
        <f>SUM(H499:H500)</f>
        <v>0</v>
      </c>
      <c r="I501" s="39">
        <f>SUM(I499:I500)</f>
        <v>0</v>
      </c>
      <c r="J501" s="39">
        <f>SUM(J499:J500)</f>
        <v>0</v>
      </c>
      <c r="K501" s="39">
        <f t="shared" si="35"/>
        <v>236857</v>
      </c>
      <c r="L501" s="42" t="s">
        <v>288</v>
      </c>
      <c r="N501" s="130"/>
    </row>
    <row r="502" spans="1:14" ht="12.2" customHeight="1" x14ac:dyDescent="0.2">
      <c r="A502" s="143" t="s">
        <v>651</v>
      </c>
      <c r="B502" s="144">
        <v>20</v>
      </c>
      <c r="C502" s="144">
        <v>12</v>
      </c>
      <c r="D502" s="145" t="s">
        <v>432</v>
      </c>
      <c r="E502" s="144"/>
      <c r="F502" s="146">
        <f>F499</f>
        <v>233593</v>
      </c>
      <c r="G502" s="146"/>
      <c r="H502" s="146"/>
      <c r="I502" s="146"/>
      <c r="J502" s="146"/>
      <c r="K502" s="147">
        <f t="shared" si="35"/>
        <v>233593</v>
      </c>
      <c r="L502" s="148" t="s">
        <v>288</v>
      </c>
      <c r="N502" s="130"/>
    </row>
    <row r="503" spans="1:14" ht="12.2" customHeight="1" thickBot="1" x14ac:dyDescent="0.25">
      <c r="A503" s="21" t="s">
        <v>625</v>
      </c>
      <c r="B503" s="22">
        <v>20</v>
      </c>
      <c r="C503" s="22">
        <v>13</v>
      </c>
      <c r="D503" s="2" t="s">
        <v>432</v>
      </c>
      <c r="E503" s="22"/>
      <c r="F503" s="18">
        <v>3264</v>
      </c>
      <c r="G503" s="18"/>
      <c r="H503" s="18"/>
      <c r="I503" s="18"/>
      <c r="J503" s="18"/>
      <c r="K503" s="19">
        <f t="shared" si="35"/>
        <v>3264</v>
      </c>
      <c r="L503" s="23" t="s">
        <v>288</v>
      </c>
      <c r="N503" s="130"/>
    </row>
    <row r="504" spans="1:14" ht="12.2" customHeight="1" thickTop="1" x14ac:dyDescent="0.2">
      <c r="A504" s="97" t="s">
        <v>626</v>
      </c>
      <c r="B504" s="41">
        <v>20</v>
      </c>
      <c r="C504" s="41">
        <v>14</v>
      </c>
      <c r="D504" s="36" t="s">
        <v>432</v>
      </c>
      <c r="E504" s="41"/>
      <c r="F504" s="39">
        <f>SUM(F502:F503)</f>
        <v>236857</v>
      </c>
      <c r="G504" s="39">
        <f>SUM(G502:G503)</f>
        <v>0</v>
      </c>
      <c r="H504" s="39">
        <f>SUM(H502:H503)</f>
        <v>0</v>
      </c>
      <c r="I504" s="39">
        <f>SUM(I502:I503)</f>
        <v>0</v>
      </c>
      <c r="J504" s="39">
        <f>SUM(J502:J503)</f>
        <v>0</v>
      </c>
      <c r="K504" s="39">
        <f t="shared" si="35"/>
        <v>236857</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17911+110349+10345+205120+218420+242029</f>
        <v>804174</v>
      </c>
      <c r="G522" s="18">
        <f>3660+3672+63982+77185+196867</f>
        <v>345366</v>
      </c>
      <c r="H522" s="18"/>
      <c r="I522" s="18">
        <f>775+687+336+4155</f>
        <v>5953</v>
      </c>
      <c r="J522" s="18">
        <f>195</f>
        <v>195</v>
      </c>
      <c r="K522" s="18">
        <f>500</f>
        <v>500</v>
      </c>
      <c r="L522" s="69">
        <f>SUM(F522:K522)</f>
        <v>1156188</v>
      </c>
      <c r="N522" s="130"/>
    </row>
    <row r="523" spans="1:14" ht="12.2" customHeight="1" x14ac:dyDescent="0.2">
      <c r="A523" s="21" t="s">
        <v>634</v>
      </c>
      <c r="B523" s="22">
        <v>21</v>
      </c>
      <c r="C523" s="22">
        <v>2</v>
      </c>
      <c r="D523" s="2" t="s">
        <v>432</v>
      </c>
      <c r="E523" s="22"/>
      <c r="F523" s="18">
        <f>13821+181873+121338+172695+11110</f>
        <v>500837</v>
      </c>
      <c r="G523" s="18">
        <f>2824+2834+128665+18002+1435+146+55+13081+33917+4+657</f>
        <v>201620</v>
      </c>
      <c r="H523" s="18"/>
      <c r="I523" s="18">
        <f>1298</f>
        <v>1298</v>
      </c>
      <c r="J523" s="18">
        <f>151</f>
        <v>151</v>
      </c>
      <c r="K523" s="18">
        <f>386</f>
        <v>386</v>
      </c>
      <c r="L523" s="69">
        <f>SUM(F523:K523)</f>
        <v>704292</v>
      </c>
      <c r="N523" s="130"/>
    </row>
    <row r="524" spans="1:14" ht="12.2" customHeight="1" thickBot="1" x14ac:dyDescent="0.25">
      <c r="A524" s="21" t="s">
        <v>635</v>
      </c>
      <c r="B524" s="22">
        <v>21</v>
      </c>
      <c r="C524" s="22">
        <v>3</v>
      </c>
      <c r="D524" s="2" t="s">
        <v>432</v>
      </c>
      <c r="E524" s="22"/>
      <c r="F524" s="18">
        <f>10860+191703+136662</f>
        <v>339225</v>
      </c>
      <c r="G524" s="18">
        <f>2219+2226+185475</f>
        <v>189920</v>
      </c>
      <c r="H524" s="18"/>
      <c r="I524" s="18">
        <f>1885</f>
        <v>1885</v>
      </c>
      <c r="J524" s="18">
        <f>119+827</f>
        <v>946</v>
      </c>
      <c r="K524" s="18">
        <f>303</f>
        <v>303</v>
      </c>
      <c r="L524" s="69">
        <f>SUM(F524:K524)</f>
        <v>532279</v>
      </c>
      <c r="N524" s="130"/>
    </row>
    <row r="525" spans="1:14" ht="12.2" customHeight="1" thickTop="1" x14ac:dyDescent="0.2">
      <c r="A525" s="97" t="s">
        <v>63</v>
      </c>
      <c r="B525" s="41">
        <v>21</v>
      </c>
      <c r="C525" s="41">
        <v>4</v>
      </c>
      <c r="D525" s="115" t="s">
        <v>432</v>
      </c>
      <c r="E525" s="41"/>
      <c r="F525" s="81">
        <f>SUM(F522:F524)</f>
        <v>1644236</v>
      </c>
      <c r="G525" s="81">
        <f t="shared" ref="G525:L525" si="36">SUM(G522:G524)</f>
        <v>736906</v>
      </c>
      <c r="H525" s="81">
        <f t="shared" si="36"/>
        <v>0</v>
      </c>
      <c r="I525" s="81">
        <f t="shared" si="36"/>
        <v>9136</v>
      </c>
      <c r="J525" s="81">
        <f t="shared" si="36"/>
        <v>1292</v>
      </c>
      <c r="K525" s="81">
        <f t="shared" si="36"/>
        <v>1189</v>
      </c>
      <c r="L525" s="70">
        <f t="shared" si="36"/>
        <v>2392759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20560</f>
        <v>20560</v>
      </c>
      <c r="G527" s="18">
        <f>16708</f>
        <v>16708</v>
      </c>
      <c r="H527" s="18">
        <f>872619+23213+24171+46377</f>
        <v>966380</v>
      </c>
      <c r="I527" s="18">
        <f>9360</f>
        <v>9360</v>
      </c>
      <c r="J527" s="18"/>
      <c r="K527" s="18"/>
      <c r="L527" s="69">
        <f>SUM(F527:K527)</f>
        <v>1013008</v>
      </c>
      <c r="M527" s="8"/>
      <c r="N527" s="164"/>
    </row>
    <row r="528" spans="1:14" s="3" customFormat="1" ht="12.2" customHeight="1" x14ac:dyDescent="0.15">
      <c r="A528" s="21" t="s">
        <v>634</v>
      </c>
      <c r="B528" s="22">
        <v>21</v>
      </c>
      <c r="C528" s="22">
        <v>6</v>
      </c>
      <c r="D528" s="2" t="s">
        <v>432</v>
      </c>
      <c r="E528" s="22"/>
      <c r="F528" s="18">
        <f>15865</f>
        <v>15865</v>
      </c>
      <c r="G528" s="18">
        <f>12893</f>
        <v>12893</v>
      </c>
      <c r="H528" s="18">
        <f>673360+17912+19423+35787</f>
        <v>746482</v>
      </c>
      <c r="I528" s="18">
        <f>7223</f>
        <v>7223</v>
      </c>
      <c r="J528" s="18"/>
      <c r="K528" s="18"/>
      <c r="L528" s="69">
        <f>SUM(F528:K528)</f>
        <v>782463</v>
      </c>
      <c r="M528" s="8"/>
      <c r="N528" s="164"/>
    </row>
    <row r="529" spans="1:14" s="3" customFormat="1" ht="12.2" customHeight="1" thickBot="1" x14ac:dyDescent="0.2">
      <c r="A529" s="21" t="s">
        <v>635</v>
      </c>
      <c r="B529" s="22">
        <v>21</v>
      </c>
      <c r="C529" s="22">
        <v>7</v>
      </c>
      <c r="D529" s="2" t="s">
        <v>432</v>
      </c>
      <c r="E529" s="22"/>
      <c r="F529" s="18">
        <f>12465</f>
        <v>12465</v>
      </c>
      <c r="G529" s="18">
        <f>10130</f>
        <v>10130</v>
      </c>
      <c r="H529" s="18">
        <f>210979+529068+14075+15261+28119</f>
        <v>797502</v>
      </c>
      <c r="I529" s="18">
        <f>5676</f>
        <v>5676</v>
      </c>
      <c r="J529" s="18"/>
      <c r="K529" s="18"/>
      <c r="L529" s="69">
        <f>SUM(F529:K529)</f>
        <v>825773</v>
      </c>
      <c r="M529" s="8"/>
      <c r="N529" s="164"/>
    </row>
    <row r="530" spans="1:14" s="3" customFormat="1" ht="12.2" customHeight="1" thickTop="1" x14ac:dyDescent="0.15">
      <c r="A530" s="97" t="s">
        <v>65</v>
      </c>
      <c r="B530" s="41">
        <v>21</v>
      </c>
      <c r="C530" s="41">
        <v>8</v>
      </c>
      <c r="D530" s="115" t="s">
        <v>432</v>
      </c>
      <c r="E530" s="41"/>
      <c r="F530" s="70">
        <f>SUM(F527:F529)</f>
        <v>48890</v>
      </c>
      <c r="G530" s="70">
        <f t="shared" ref="G530:L530" si="37">SUM(G527:G529)</f>
        <v>39731</v>
      </c>
      <c r="H530" s="70">
        <f t="shared" si="37"/>
        <v>2510364</v>
      </c>
      <c r="I530" s="70">
        <f t="shared" si="37"/>
        <v>22259</v>
      </c>
      <c r="J530" s="70">
        <f t="shared" si="37"/>
        <v>0</v>
      </c>
      <c r="K530" s="70">
        <f t="shared" si="37"/>
        <v>0</v>
      </c>
      <c r="L530" s="70">
        <f t="shared" si="37"/>
        <v>2621244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f>49202+34518+15517+1051</f>
        <v>100288</v>
      </c>
      <c r="G532" s="18">
        <f>61748</f>
        <v>61748</v>
      </c>
      <c r="H532" s="18"/>
      <c r="I532" s="18"/>
      <c r="J532" s="18"/>
      <c r="K532" s="18"/>
      <c r="L532" s="69">
        <f>SUM(F532:K532)</f>
        <v>162036</v>
      </c>
      <c r="M532" s="8"/>
      <c r="N532" s="164"/>
    </row>
    <row r="533" spans="1:14" s="3" customFormat="1" ht="12.2" customHeight="1" x14ac:dyDescent="0.15">
      <c r="A533" s="21" t="s">
        <v>634</v>
      </c>
      <c r="B533" s="22">
        <v>21</v>
      </c>
      <c r="C533" s="22">
        <v>10</v>
      </c>
      <c r="D533" s="2" t="s">
        <v>432</v>
      </c>
      <c r="E533" s="22"/>
      <c r="F533" s="18">
        <f>37967+26636+11974+811</f>
        <v>77388</v>
      </c>
      <c r="G533" s="18">
        <f>47648</f>
        <v>47648</v>
      </c>
      <c r="H533" s="18"/>
      <c r="I533" s="18"/>
      <c r="J533" s="18"/>
      <c r="K533" s="18"/>
      <c r="L533" s="69">
        <f>SUM(F533:K533)</f>
        <v>125036</v>
      </c>
      <c r="M533" s="8"/>
      <c r="N533" s="164"/>
    </row>
    <row r="534" spans="1:14" s="3" customFormat="1" ht="12.2" customHeight="1" thickBot="1" x14ac:dyDescent="0.2">
      <c r="A534" s="21" t="s">
        <v>635</v>
      </c>
      <c r="B534" s="22">
        <v>21</v>
      </c>
      <c r="C534" s="22">
        <v>11</v>
      </c>
      <c r="D534" s="2" t="s">
        <v>432</v>
      </c>
      <c r="E534" s="22"/>
      <c r="F534" s="18">
        <f>29831+20928+9408+637</f>
        <v>60804</v>
      </c>
      <c r="G534" s="18">
        <f>37438</f>
        <v>37438</v>
      </c>
      <c r="H534" s="18"/>
      <c r="I534" s="18"/>
      <c r="J534" s="18"/>
      <c r="K534" s="18"/>
      <c r="L534" s="69">
        <f>SUM(F534:K534)</f>
        <v>98242</v>
      </c>
      <c r="M534" s="8"/>
      <c r="N534" s="164"/>
    </row>
    <row r="535" spans="1:14" s="3" customFormat="1" ht="12.2" customHeight="1" thickTop="1" x14ac:dyDescent="0.15">
      <c r="A535" s="97" t="s">
        <v>67</v>
      </c>
      <c r="B535" s="41">
        <v>21</v>
      </c>
      <c r="C535" s="41">
        <v>12</v>
      </c>
      <c r="D535" s="115" t="s">
        <v>432</v>
      </c>
      <c r="E535" s="41"/>
      <c r="F535" s="70">
        <f>SUM(F532:F534)</f>
        <v>238480</v>
      </c>
      <c r="G535" s="70">
        <f t="shared" ref="G535:L535" si="38">SUM(G532:G534)</f>
        <v>146834</v>
      </c>
      <c r="H535" s="70">
        <f t="shared" si="38"/>
        <v>0</v>
      </c>
      <c r="I535" s="70">
        <f t="shared" si="38"/>
        <v>0</v>
      </c>
      <c r="J535" s="70">
        <f t="shared" si="38"/>
        <v>0</v>
      </c>
      <c r="K535" s="70">
        <f t="shared" si="38"/>
        <v>0</v>
      </c>
      <c r="L535" s="70">
        <f t="shared" si="38"/>
        <v>385314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1804</v>
      </c>
      <c r="I537" s="18"/>
      <c r="J537" s="18"/>
      <c r="K537" s="18"/>
      <c r="L537" s="69">
        <f>SUM(F537:K537)</f>
        <v>1804</v>
      </c>
      <c r="M537" s="8"/>
      <c r="N537" s="164"/>
    </row>
    <row r="538" spans="1:14" s="3" customFormat="1" ht="12.2" customHeight="1" x14ac:dyDescent="0.15">
      <c r="A538" s="21" t="s">
        <v>634</v>
      </c>
      <c r="B538" s="22">
        <v>21</v>
      </c>
      <c r="C538" s="22">
        <v>14</v>
      </c>
      <c r="D538" s="2" t="s">
        <v>432</v>
      </c>
      <c r="E538" s="22"/>
      <c r="F538" s="18"/>
      <c r="G538" s="18"/>
      <c r="H538" s="18">
        <v>1020</v>
      </c>
      <c r="I538" s="18"/>
      <c r="J538" s="18"/>
      <c r="K538" s="18"/>
      <c r="L538" s="69">
        <f>SUM(F538:K538)</f>
        <v>1020</v>
      </c>
      <c r="M538" s="8"/>
      <c r="N538" s="164"/>
    </row>
    <row r="539" spans="1:14" s="3" customFormat="1" ht="12.2" customHeight="1" thickBot="1" x14ac:dyDescent="0.2">
      <c r="A539" s="21" t="s">
        <v>635</v>
      </c>
      <c r="B539" s="22">
        <v>21</v>
      </c>
      <c r="C539" s="22">
        <v>15</v>
      </c>
      <c r="D539" s="2" t="s">
        <v>432</v>
      </c>
      <c r="E539" s="22"/>
      <c r="F539" s="18"/>
      <c r="G539" s="18"/>
      <c r="H539" s="18">
        <v>314</v>
      </c>
      <c r="I539" s="18"/>
      <c r="J539" s="18"/>
      <c r="K539" s="18"/>
      <c r="L539" s="69">
        <f>SUM(F539:K539)</f>
        <v>314</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3138</v>
      </c>
      <c r="I540" s="70">
        <f t="shared" si="39"/>
        <v>0</v>
      </c>
      <c r="J540" s="70">
        <f t="shared" si="39"/>
        <v>0</v>
      </c>
      <c r="K540" s="70">
        <f t="shared" si="39"/>
        <v>0</v>
      </c>
      <c r="L540" s="70">
        <f t="shared" si="39"/>
        <v>3138</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124562</v>
      </c>
      <c r="I542" s="18"/>
      <c r="J542" s="18"/>
      <c r="K542" s="18"/>
      <c r="L542" s="69">
        <f>SUM(F542:K542)</f>
        <v>124562</v>
      </c>
      <c r="M542" s="8"/>
      <c r="N542" s="164"/>
    </row>
    <row r="543" spans="1:14" s="3" customFormat="1" ht="12.2" customHeight="1" x14ac:dyDescent="0.15">
      <c r="A543" s="21" t="s">
        <v>634</v>
      </c>
      <c r="B543" s="22">
        <v>21</v>
      </c>
      <c r="C543" s="22">
        <v>18</v>
      </c>
      <c r="D543" s="2" t="s">
        <v>432</v>
      </c>
      <c r="E543" s="22"/>
      <c r="F543" s="18"/>
      <c r="G543" s="18"/>
      <c r="H543" s="18">
        <v>70405</v>
      </c>
      <c r="I543" s="18"/>
      <c r="J543" s="18"/>
      <c r="K543" s="18"/>
      <c r="L543" s="69">
        <f>SUM(F543:K543)</f>
        <v>70405</v>
      </c>
      <c r="M543" s="8"/>
      <c r="N543" s="164"/>
    </row>
    <row r="544" spans="1:14" s="3" customFormat="1" ht="12.2" customHeight="1" thickBot="1" x14ac:dyDescent="0.2">
      <c r="A544" s="21" t="s">
        <v>635</v>
      </c>
      <c r="B544" s="22">
        <v>21</v>
      </c>
      <c r="C544" s="22">
        <v>19</v>
      </c>
      <c r="D544" s="2" t="s">
        <v>432</v>
      </c>
      <c r="E544" s="22"/>
      <c r="F544" s="18"/>
      <c r="G544" s="18"/>
      <c r="H544" s="18">
        <v>21662</v>
      </c>
      <c r="I544" s="18"/>
      <c r="J544" s="18"/>
      <c r="K544" s="18"/>
      <c r="L544" s="69">
        <f>SUM(F544:K544)</f>
        <v>21662</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216629</v>
      </c>
      <c r="I545" s="140">
        <f t="shared" si="40"/>
        <v>0</v>
      </c>
      <c r="J545" s="140">
        <f t="shared" si="40"/>
        <v>0</v>
      </c>
      <c r="K545" s="140">
        <f t="shared" si="40"/>
        <v>0</v>
      </c>
      <c r="L545" s="140">
        <f t="shared" si="40"/>
        <v>216629</v>
      </c>
      <c r="M545" s="8"/>
      <c r="N545" s="164"/>
    </row>
    <row r="546" spans="1:14" s="3" customFormat="1" ht="12.2" customHeight="1" thickTop="1" x14ac:dyDescent="0.15">
      <c r="A546" s="75" t="s">
        <v>72</v>
      </c>
      <c r="B546" s="41">
        <v>21</v>
      </c>
      <c r="C546" s="41">
        <v>21</v>
      </c>
      <c r="D546" s="115" t="s">
        <v>432</v>
      </c>
      <c r="E546" s="41"/>
      <c r="F546" s="70">
        <f>F525+F530+F535+F540+F545</f>
        <v>1931606</v>
      </c>
      <c r="G546" s="70">
        <f t="shared" ref="G546:L546" si="41">G525+G530+G535+G540+G545</f>
        <v>923471</v>
      </c>
      <c r="H546" s="70">
        <f t="shared" si="41"/>
        <v>2730131</v>
      </c>
      <c r="I546" s="70">
        <f t="shared" si="41"/>
        <v>31395</v>
      </c>
      <c r="J546" s="70">
        <f t="shared" si="41"/>
        <v>1292</v>
      </c>
      <c r="K546" s="70">
        <f t="shared" si="41"/>
        <v>1189</v>
      </c>
      <c r="L546" s="70">
        <f t="shared" si="41"/>
        <v>5619084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1156188</v>
      </c>
      <c r="G550" s="69">
        <f>L527</f>
        <v>1013008</v>
      </c>
      <c r="H550" s="69">
        <f>L532</f>
        <v>162036</v>
      </c>
      <c r="I550" s="69">
        <f>L537</f>
        <v>1804</v>
      </c>
      <c r="J550" s="69">
        <f>L542</f>
        <v>124562</v>
      </c>
      <c r="K550" s="69">
        <f>SUM(F550:J550)</f>
        <v>2457598</v>
      </c>
      <c r="L550" s="23" t="s">
        <v>288</v>
      </c>
      <c r="M550" s="8"/>
      <c r="N550" s="164"/>
    </row>
    <row r="551" spans="1:14" s="3" customFormat="1" ht="12.2" customHeight="1" x14ac:dyDescent="0.15">
      <c r="A551" s="21" t="s">
        <v>634</v>
      </c>
      <c r="B551" s="22">
        <v>21</v>
      </c>
      <c r="C551" s="22">
        <v>23</v>
      </c>
      <c r="D551" s="2" t="s">
        <v>432</v>
      </c>
      <c r="E551" s="22"/>
      <c r="F551" s="69">
        <f>L523</f>
        <v>704292</v>
      </c>
      <c r="G551" s="69">
        <f>L528</f>
        <v>782463</v>
      </c>
      <c r="H551" s="69">
        <f>L533</f>
        <v>125036</v>
      </c>
      <c r="I551" s="69">
        <f>L538</f>
        <v>1020</v>
      </c>
      <c r="J551" s="69">
        <f>L543</f>
        <v>70405</v>
      </c>
      <c r="K551" s="69">
        <f>SUM(F551:J551)</f>
        <v>1683216</v>
      </c>
      <c r="L551" s="23" t="s">
        <v>288</v>
      </c>
      <c r="M551" s="8"/>
      <c r="N551" s="164"/>
    </row>
    <row r="552" spans="1:14" s="3" customFormat="1" ht="12.2" customHeight="1" thickBot="1" x14ac:dyDescent="0.2">
      <c r="A552" s="21" t="s">
        <v>635</v>
      </c>
      <c r="B552" s="22">
        <v>21</v>
      </c>
      <c r="C552" s="22">
        <v>24</v>
      </c>
      <c r="D552" s="2" t="s">
        <v>432</v>
      </c>
      <c r="E552" s="22"/>
      <c r="F552" s="69">
        <f>L524</f>
        <v>532279</v>
      </c>
      <c r="G552" s="69">
        <f>L529</f>
        <v>825773</v>
      </c>
      <c r="H552" s="69">
        <f>L534</f>
        <v>98242</v>
      </c>
      <c r="I552" s="69">
        <f>L539</f>
        <v>314</v>
      </c>
      <c r="J552" s="69">
        <f>L544</f>
        <v>21662</v>
      </c>
      <c r="K552" s="69">
        <f>SUM(F552:J552)</f>
        <v>1478270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2392759</v>
      </c>
      <c r="G553" s="70">
        <f t="shared" si="42"/>
        <v>2621244</v>
      </c>
      <c r="H553" s="70">
        <f t="shared" si="42"/>
        <v>385314</v>
      </c>
      <c r="I553" s="70">
        <f t="shared" si="42"/>
        <v>3138</v>
      </c>
      <c r="J553" s="70">
        <f t="shared" si="42"/>
        <v>216629</v>
      </c>
      <c r="K553" s="70">
        <f t="shared" si="42"/>
        <v>5619084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f>210979</f>
        <v>210979</v>
      </c>
      <c r="I583" s="69">
        <f t="shared" si="47"/>
        <v>210979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200620</v>
      </c>
      <c r="I585" s="69">
        <f t="shared" si="47"/>
        <v>200620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0</v>
      </c>
      <c r="H589" s="79">
        <f t="shared" si="48"/>
        <v>411599</v>
      </c>
      <c r="I589" s="79">
        <f t="shared" si="48"/>
        <v>411599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244285+14578+16674+5-3-2</f>
        <v>275537</v>
      </c>
      <c r="I592" s="18">
        <f>292916+20842</f>
        <v>313758</v>
      </c>
      <c r="J592" s="18">
        <f>294047+16674-6000</f>
        <v>304721</v>
      </c>
      <c r="K592" s="80">
        <f t="shared" ref="K592:K598" si="49">SUM(H592:J592)</f>
        <v>894016</v>
      </c>
      <c r="L592" s="23" t="s">
        <v>288</v>
      </c>
      <c r="M592" s="8"/>
      <c r="N592" s="164"/>
    </row>
    <row r="593" spans="1:14" s="3" customFormat="1" ht="12.2" customHeight="1" x14ac:dyDescent="0.15">
      <c r="A593" s="3" t="s">
        <v>638</v>
      </c>
      <c r="B593" s="22">
        <v>23</v>
      </c>
      <c r="C593" s="22">
        <v>2</v>
      </c>
      <c r="D593" s="2" t="s">
        <v>432</v>
      </c>
      <c r="E593" s="22"/>
      <c r="F593" s="78">
        <v>2722</v>
      </c>
      <c r="G593" s="79" t="s">
        <v>97</v>
      </c>
      <c r="H593" s="18">
        <v>124562</v>
      </c>
      <c r="I593" s="18">
        <v>70405</v>
      </c>
      <c r="J593" s="18">
        <v>21662</v>
      </c>
      <c r="K593" s="80">
        <f t="shared" si="49"/>
        <v>216629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v>11330</v>
      </c>
      <c r="K594" s="80">
        <f t="shared" si="49"/>
        <v>11330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f>6939+42835</f>
        <v>49774</v>
      </c>
      <c r="J595" s="18">
        <f>15400+42835-5330</f>
        <v>52905</v>
      </c>
      <c r="K595" s="80">
        <f t="shared" si="49"/>
        <v>102679</v>
      </c>
      <c r="L595" s="23" t="s">
        <v>288</v>
      </c>
      <c r="M595" s="8"/>
      <c r="N595" s="164"/>
    </row>
    <row r="596" spans="1:14" s="3" customFormat="1" ht="12.2" customHeight="1" x14ac:dyDescent="0.15">
      <c r="A596" s="103" t="s">
        <v>652</v>
      </c>
      <c r="B596" s="22">
        <v>23</v>
      </c>
      <c r="C596" s="22">
        <v>5</v>
      </c>
      <c r="D596" s="2" t="s">
        <v>432</v>
      </c>
      <c r="E596" s="22"/>
      <c r="F596" s="78">
        <v>2725</v>
      </c>
      <c r="G596" s="79" t="s">
        <v>97</v>
      </c>
      <c r="H596" s="18">
        <f>1428+2474</f>
        <v>3902</v>
      </c>
      <c r="I596" s="18">
        <f>10119+1</f>
        <v>10120</v>
      </c>
      <c r="J596" s="18">
        <f>461+1</f>
        <v>462</v>
      </c>
      <c r="K596" s="80">
        <f t="shared" si="49"/>
        <v>14484</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404001</v>
      </c>
      <c r="I599" s="81">
        <f>SUM(I592:I598)</f>
        <v>444057</v>
      </c>
      <c r="J599" s="81">
        <f>SUM(J592:J598)</f>
        <v>391080</v>
      </c>
      <c r="K599" s="81">
        <f>SUM(K592:K598)</f>
        <v>1239138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13207+465+676+17571</f>
        <v>31919</v>
      </c>
      <c r="I605" s="18">
        <f>6678+9298+4235+22914+4824+15008</f>
        <v>62957</v>
      </c>
      <c r="J605" s="18">
        <f>20614+4235+21156+23461+17653</f>
        <v>87119</v>
      </c>
      <c r="K605" s="80">
        <f>SUM(H605:J605)</f>
        <v>181995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31919</v>
      </c>
      <c r="I606" s="81">
        <f>SUM(I603:I605)</f>
        <v>62957</v>
      </c>
      <c r="J606" s="81">
        <f>SUM(J603:J605)</f>
        <v>87119</v>
      </c>
      <c r="K606" s="81">
        <f>SUM(K603:K605)</f>
        <v>181995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2152+1691+65+113+20983+17911-2737</f>
        <v>40178</v>
      </c>
      <c r="G612" s="18">
        <f>162+423+69+5+1604+177+13+3267+6632</f>
        <v>12352</v>
      </c>
      <c r="H612" s="18"/>
      <c r="I612" s="18">
        <f>20635</f>
        <v>20635</v>
      </c>
      <c r="J612" s="18"/>
      <c r="K612" s="18"/>
      <c r="L612" s="69">
        <f>SUM(F612:K612)</f>
        <v>73165</v>
      </c>
      <c r="M612" s="8"/>
      <c r="N612" s="164"/>
    </row>
    <row r="613" spans="1:14" s="3" customFormat="1" ht="12.2" customHeight="1" x14ac:dyDescent="0.15">
      <c r="A613" s="21" t="s">
        <v>634</v>
      </c>
      <c r="B613" s="22">
        <v>23</v>
      </c>
      <c r="C613" s="22">
        <v>14</v>
      </c>
      <c r="D613" s="2" t="s">
        <v>432</v>
      </c>
      <c r="E613" s="22"/>
      <c r="F613" s="18">
        <f>13821</f>
        <v>13821</v>
      </c>
      <c r="G613" s="18">
        <f>5118</f>
        <v>5118</v>
      </c>
      <c r="H613" s="18"/>
      <c r="I613" s="18"/>
      <c r="J613" s="18"/>
      <c r="K613" s="18"/>
      <c r="L613" s="69">
        <f>SUM(F613:K613)</f>
        <v>18939</v>
      </c>
      <c r="M613" s="8"/>
      <c r="N613" s="164"/>
    </row>
    <row r="614" spans="1:14" s="3" customFormat="1" ht="12.2" customHeight="1" thickBot="1" x14ac:dyDescent="0.2">
      <c r="A614" s="21" t="s">
        <v>645</v>
      </c>
      <c r="B614" s="22">
        <v>23</v>
      </c>
      <c r="C614" s="22">
        <v>15</v>
      </c>
      <c r="D614" s="2" t="s">
        <v>432</v>
      </c>
      <c r="E614" s="22"/>
      <c r="F614" s="18">
        <f>10860</f>
        <v>10860</v>
      </c>
      <c r="G614" s="18">
        <f>4021</f>
        <v>4021</v>
      </c>
      <c r="H614" s="18"/>
      <c r="I614" s="18"/>
      <c r="J614" s="18"/>
      <c r="K614" s="18"/>
      <c r="L614" s="69">
        <f>SUM(F614:K614)</f>
        <v>14881</v>
      </c>
      <c r="M614" s="8"/>
      <c r="N614" s="164"/>
    </row>
    <row r="615" spans="1:14" s="3" customFormat="1" ht="12.2" customHeight="1" thickTop="1" x14ac:dyDescent="0.15">
      <c r="A615" s="75" t="s">
        <v>340</v>
      </c>
      <c r="B615" s="41">
        <v>23</v>
      </c>
      <c r="C615" s="41">
        <v>16</v>
      </c>
      <c r="D615" s="36" t="s">
        <v>432</v>
      </c>
      <c r="E615" s="41"/>
      <c r="F615" s="81">
        <f t="shared" ref="F615:L615" si="50">SUM(F612:F614)</f>
        <v>64859</v>
      </c>
      <c r="G615" s="81">
        <f t="shared" si="50"/>
        <v>21491</v>
      </c>
      <c r="H615" s="81">
        <f t="shared" si="50"/>
        <v>0</v>
      </c>
      <c r="I615" s="81">
        <f t="shared" si="50"/>
        <v>20635</v>
      </c>
      <c r="J615" s="81">
        <f t="shared" si="50"/>
        <v>0</v>
      </c>
      <c r="K615" s="81">
        <f t="shared" si="50"/>
        <v>0</v>
      </c>
      <c r="L615" s="70">
        <f t="shared" si="50"/>
        <v>106985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4220318</v>
      </c>
      <c r="H618" s="80">
        <f>SUM(F52)</f>
        <v>4220318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415374</v>
      </c>
      <c r="H619" s="80">
        <f>SUM(G52)</f>
        <v>415374</v>
      </c>
      <c r="I619" s="87" t="s">
        <v>872</v>
      </c>
      <c r="J619" s="80">
        <f>G619-H619</f>
        <v>0</v>
      </c>
      <c r="K619" s="80"/>
      <c r="L619" s="80"/>
      <c r="M619" s="8"/>
    </row>
    <row r="620" spans="1:14" s="3" customFormat="1" ht="12.2" customHeight="1" x14ac:dyDescent="0.15">
      <c r="A620" s="74"/>
      <c r="B620" s="22"/>
      <c r="C620" s="22"/>
      <c r="D620" s="22"/>
      <c r="E620" s="22"/>
      <c r="F620" s="87" t="s">
        <v>685</v>
      </c>
      <c r="G620" s="80">
        <f>SUM(H19)</f>
        <v>979749</v>
      </c>
      <c r="H620" s="80">
        <f>SUM(H52)</f>
        <v>979749</v>
      </c>
      <c r="I620" s="87" t="s">
        <v>873</v>
      </c>
      <c r="J620" s="80">
        <f>G620-H620</f>
        <v>0</v>
      </c>
      <c r="K620" s="80"/>
      <c r="L620" s="80"/>
      <c r="M620" s="8"/>
    </row>
    <row r="621" spans="1:14" s="3" customFormat="1" ht="12.2" customHeight="1" x14ac:dyDescent="0.15">
      <c r="A621" s="74"/>
      <c r="B621" s="22"/>
      <c r="C621" s="22"/>
      <c r="D621" s="22"/>
      <c r="E621" s="22"/>
      <c r="F621" s="87" t="s">
        <v>686</v>
      </c>
      <c r="G621" s="80">
        <f>SUM(I19)</f>
        <v>2093576</v>
      </c>
      <c r="H621" s="80">
        <f>SUM(I52)</f>
        <v>2093576</v>
      </c>
      <c r="I621" s="87" t="s">
        <v>874</v>
      </c>
      <c r="J621" s="80">
        <f>G621-H621</f>
        <v>0</v>
      </c>
      <c r="K621" s="80"/>
      <c r="L621" s="80"/>
      <c r="M621" s="8"/>
    </row>
    <row r="622" spans="1:14" s="3" customFormat="1" ht="12.2" customHeight="1" x14ac:dyDescent="0.15">
      <c r="A622" s="74"/>
      <c r="B622" s="22"/>
      <c r="C622" s="22"/>
      <c r="D622" s="22"/>
      <c r="E622" s="22"/>
      <c r="F622" s="87" t="s">
        <v>687</v>
      </c>
      <c r="G622" s="80">
        <f>SUM(J19)</f>
        <v>1916717</v>
      </c>
      <c r="H622" s="80">
        <f>SUM(J52)</f>
        <v>1916717</v>
      </c>
      <c r="I622" s="87" t="s">
        <v>875</v>
      </c>
      <c r="J622" s="80">
        <f>G622-H622</f>
        <v>0</v>
      </c>
      <c r="K622" s="80"/>
      <c r="L622" s="80"/>
      <c r="M622" s="8"/>
    </row>
    <row r="623" spans="1:14" s="3" customFormat="1" ht="12.2" customHeight="1" x14ac:dyDescent="0.15">
      <c r="A623" s="74"/>
      <c r="B623" s="22"/>
      <c r="C623" s="22"/>
      <c r="D623" s="22"/>
      <c r="E623" s="22"/>
      <c r="F623" s="87" t="s">
        <v>861</v>
      </c>
      <c r="G623" s="80">
        <f>F51</f>
        <v>3711161</v>
      </c>
      <c r="H623" s="80">
        <f>F477</f>
        <v>3711161</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402799</v>
      </c>
      <c r="H624" s="80">
        <f>G477</f>
        <v>402799</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1916717</v>
      </c>
      <c r="H627" s="80">
        <f>J477</f>
        <v>1916717</v>
      </c>
      <c r="I627" s="87" t="s">
        <v>105</v>
      </c>
      <c r="J627" s="80">
        <f t="shared" si="51"/>
        <v>0</v>
      </c>
      <c r="K627" s="67"/>
      <c r="L627" s="69"/>
      <c r="M627" s="8"/>
    </row>
    <row r="628" spans="1:13" s="3" customFormat="1" ht="12.2" customHeight="1" x14ac:dyDescent="0.15">
      <c r="A628" s="21"/>
      <c r="B628" s="22"/>
      <c r="C628" s="22"/>
      <c r="D628" s="22"/>
      <c r="E628" s="22"/>
      <c r="F628" s="86" t="s">
        <v>658</v>
      </c>
      <c r="G628" s="80">
        <f>F194</f>
        <v>24855134</v>
      </c>
      <c r="H628" s="80">
        <f>SUM(F469)</f>
        <v>24855134</v>
      </c>
      <c r="I628" s="87" t="s">
        <v>106</v>
      </c>
      <c r="J628" s="80">
        <f>G628-H628</f>
        <v>0</v>
      </c>
      <c r="K628" s="67"/>
      <c r="L628" s="69"/>
      <c r="M628" s="8"/>
    </row>
    <row r="629" spans="1:13" s="3" customFormat="1" ht="12.2" customHeight="1" x14ac:dyDescent="0.15">
      <c r="A629" s="21"/>
      <c r="B629" s="22"/>
      <c r="C629" s="22"/>
      <c r="D629" s="22"/>
      <c r="E629" s="22"/>
      <c r="F629" s="86" t="s">
        <v>659</v>
      </c>
      <c r="G629" s="80">
        <f>G194</f>
        <v>744665</v>
      </c>
      <c r="H629" s="80">
        <f>SUM(G469)</f>
        <v>744665</v>
      </c>
      <c r="I629" s="87" t="s">
        <v>107</v>
      </c>
      <c r="J629" s="80">
        <f>G629-H629</f>
        <v>0</v>
      </c>
      <c r="K629" s="67"/>
      <c r="L629" s="69"/>
      <c r="M629" s="8"/>
    </row>
    <row r="630" spans="1:13" s="3" customFormat="1" ht="12.2" customHeight="1" x14ac:dyDescent="0.15">
      <c r="A630" s="21"/>
      <c r="B630" s="22"/>
      <c r="C630" s="22"/>
      <c r="D630" s="22"/>
      <c r="E630" s="22"/>
      <c r="F630" s="86" t="s">
        <v>660</v>
      </c>
      <c r="G630" s="80">
        <f>H194</f>
        <v>2649668</v>
      </c>
      <c r="H630" s="80">
        <f>SUM(H469)</f>
        <v>2649668</v>
      </c>
      <c r="I630" s="87" t="s">
        <v>108</v>
      </c>
      <c r="J630" s="80">
        <f>G630-H630</f>
        <v>0</v>
      </c>
      <c r="K630" s="67"/>
      <c r="L630" s="69"/>
      <c r="M630" s="8"/>
    </row>
    <row r="631" spans="1:13" s="3" customFormat="1" ht="12.2" customHeight="1" x14ac:dyDescent="0.15">
      <c r="A631" s="21"/>
      <c r="B631" s="22"/>
      <c r="C631" s="22"/>
      <c r="D631" s="22"/>
      <c r="E631" s="22"/>
      <c r="F631" s="86" t="s">
        <v>661</v>
      </c>
      <c r="G631" s="80">
        <f>I194</f>
        <v>707944</v>
      </c>
      <c r="H631" s="80">
        <f>SUM(I469)</f>
        <v>707944</v>
      </c>
      <c r="I631" s="87" t="s">
        <v>109</v>
      </c>
      <c r="J631" s="80">
        <f>G631-H631</f>
        <v>0</v>
      </c>
      <c r="K631" s="67"/>
      <c r="L631" s="69"/>
      <c r="M631" s="8"/>
    </row>
    <row r="632" spans="1:13" s="3" customFormat="1" ht="12.2" customHeight="1" x14ac:dyDescent="0.15">
      <c r="A632" s="21"/>
      <c r="B632" s="22"/>
      <c r="C632" s="22"/>
      <c r="D632" s="22"/>
      <c r="E632" s="22"/>
      <c r="F632" s="86" t="s">
        <v>662</v>
      </c>
      <c r="G632" s="80">
        <f>J194</f>
        <v>88592</v>
      </c>
      <c r="H632" s="80">
        <f>SUM(J469)</f>
        <v>88592</v>
      </c>
      <c r="I632" s="87" t="s">
        <v>110</v>
      </c>
      <c r="J632" s="80">
        <f>G632-H632</f>
        <v>0</v>
      </c>
      <c r="K632" s="67"/>
      <c r="L632" s="69"/>
      <c r="M632" s="8"/>
    </row>
    <row r="633" spans="1:13" s="3" customFormat="1" ht="12.2" customHeight="1" x14ac:dyDescent="0.15">
      <c r="A633" s="21"/>
      <c r="B633" s="22"/>
      <c r="C633" s="22"/>
      <c r="D633" s="22"/>
      <c r="E633" s="22"/>
      <c r="F633" s="86" t="s">
        <v>394</v>
      </c>
      <c r="G633" s="80">
        <f>SUM(L272)</f>
        <v>24851284</v>
      </c>
      <c r="H633" s="80">
        <f>SUM(F473)</f>
        <v>24851284</v>
      </c>
      <c r="I633" s="87" t="s">
        <v>111</v>
      </c>
      <c r="J633" s="80">
        <f t="shared" si="51"/>
        <v>0</v>
      </c>
      <c r="K633" s="67"/>
      <c r="L633" s="69"/>
      <c r="M633" s="8"/>
    </row>
    <row r="634" spans="1:13" s="3" customFormat="1" ht="12.2" customHeight="1" x14ac:dyDescent="0.15">
      <c r="A634" s="21"/>
      <c r="B634" s="22"/>
      <c r="C634" s="22"/>
      <c r="D634" s="22"/>
      <c r="E634" s="22"/>
      <c r="F634" s="86" t="s">
        <v>395</v>
      </c>
      <c r="G634" s="80">
        <f>SUM(L353)</f>
        <v>2649668</v>
      </c>
      <c r="H634" s="80">
        <f>SUM(H473)</f>
        <v>2649668</v>
      </c>
      <c r="I634" s="87" t="s">
        <v>112</v>
      </c>
      <c r="J634" s="80">
        <f>G634-H634</f>
        <v>0</v>
      </c>
      <c r="K634" s="67"/>
      <c r="L634" s="69"/>
      <c r="M634" s="8"/>
    </row>
    <row r="635" spans="1:13" s="124" customFormat="1" ht="12.2" customHeight="1" x14ac:dyDescent="0.15">
      <c r="A635" s="21"/>
      <c r="B635" s="22"/>
      <c r="C635" s="22"/>
      <c r="D635" s="22"/>
      <c r="E635" s="22"/>
      <c r="F635" s="99" t="s">
        <v>247</v>
      </c>
      <c r="G635" s="80">
        <f>I363</f>
        <v>284787</v>
      </c>
      <c r="H635" s="80">
        <f>I370</f>
        <v>284787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705970</v>
      </c>
      <c r="H636" s="80">
        <f>SUM(G473)</f>
        <v>705970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707944</v>
      </c>
      <c r="H637" s="80">
        <f>SUM(I473)</f>
        <v>707944</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88592</v>
      </c>
      <c r="H638" s="108">
        <f>SUM(J469)</f>
        <v>88592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352873</v>
      </c>
      <c r="H639" s="108">
        <f>SUM(J473)</f>
        <v>352873</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1192471</v>
      </c>
      <c r="H640" s="80">
        <f>SUM(F462)</f>
        <v>1192471</v>
      </c>
      <c r="I640" s="87" t="s">
        <v>837</v>
      </c>
      <c r="J640" s="80">
        <f t="shared" si="51"/>
        <v>0</v>
      </c>
      <c r="K640" s="67"/>
      <c r="L640" s="69"/>
      <c r="M640" s="8"/>
    </row>
    <row r="641" spans="1:13" s="3" customFormat="1" ht="12.2" customHeight="1" x14ac:dyDescent="0.15">
      <c r="A641" s="21"/>
      <c r="B641" s="22"/>
      <c r="C641" s="22"/>
      <c r="D641" s="22"/>
      <c r="E641" s="22"/>
      <c r="F641" s="86" t="s">
        <v>119</v>
      </c>
      <c r="G641" s="80">
        <f>SUM(G447)</f>
        <v>724246</v>
      </c>
      <c r="H641" s="80">
        <f>SUM(G462)</f>
        <v>724246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1916717</v>
      </c>
      <c r="H643" s="80">
        <f>SUM(I462)</f>
        <v>1916717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88592</v>
      </c>
      <c r="H645" s="80">
        <f>H409</f>
        <v>88592</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88592</v>
      </c>
      <c r="H647" s="80">
        <f>L409</f>
        <v>88592</v>
      </c>
      <c r="I647" s="87" t="s">
        <v>477</v>
      </c>
      <c r="J647" s="80">
        <f t="shared" si="51"/>
        <v>0</v>
      </c>
      <c r="K647" s="67"/>
      <c r="L647" s="69"/>
      <c r="M647" s="8"/>
    </row>
    <row r="648" spans="1:13" s="3" customFormat="1" ht="12.2" customHeight="1" x14ac:dyDescent="0.15">
      <c r="A648" s="21"/>
      <c r="B648" s="22"/>
      <c r="C648" s="22"/>
      <c r="D648" s="22"/>
      <c r="E648" s="22"/>
      <c r="F648" s="86" t="s">
        <v>51</v>
      </c>
      <c r="G648" s="80">
        <f>K599</f>
        <v>1239138</v>
      </c>
      <c r="H648" s="80">
        <f>L209+L227+L245</f>
        <v>1239138</v>
      </c>
      <c r="I648" s="87" t="s">
        <v>396</v>
      </c>
      <c r="J648" s="80">
        <f t="shared" si="51"/>
        <v>0</v>
      </c>
      <c r="K648" s="67"/>
      <c r="L648" s="69"/>
      <c r="M648" s="8"/>
    </row>
    <row r="649" spans="1:13" s="3" customFormat="1" ht="12.2" customHeight="1" x14ac:dyDescent="0.15">
      <c r="A649" s="21"/>
      <c r="B649" s="22"/>
      <c r="C649" s="22"/>
      <c r="D649" s="22"/>
      <c r="E649" s="22"/>
      <c r="F649" s="86" t="s">
        <v>52</v>
      </c>
      <c r="G649" s="80">
        <f>K606</f>
        <v>181995</v>
      </c>
      <c r="H649" s="80">
        <f>(J258+J339)-(J256+J337)</f>
        <v>181995</v>
      </c>
      <c r="I649" s="87" t="s">
        <v>699</v>
      </c>
      <c r="J649" s="80">
        <f t="shared" si="51"/>
        <v>0</v>
      </c>
      <c r="K649" s="67"/>
      <c r="L649" s="69"/>
      <c r="M649" s="8"/>
    </row>
    <row r="650" spans="1:13" s="3" customFormat="1" ht="12.2" customHeight="1" x14ac:dyDescent="0.15">
      <c r="A650" s="21"/>
      <c r="B650" s="22"/>
      <c r="C650" s="22"/>
      <c r="D650" s="22"/>
      <c r="E650" s="22"/>
      <c r="F650" s="86" t="s">
        <v>387</v>
      </c>
      <c r="G650" s="80">
        <f>L209</f>
        <v>404001</v>
      </c>
      <c r="H650" s="80">
        <f>H599</f>
        <v>404001</v>
      </c>
      <c r="I650" s="87" t="s">
        <v>388</v>
      </c>
      <c r="J650" s="80">
        <f t="shared" si="51"/>
        <v>0</v>
      </c>
      <c r="K650" s="67"/>
      <c r="L650" s="69"/>
      <c r="M650" s="8"/>
    </row>
    <row r="651" spans="1:13" s="3" customFormat="1" ht="12.2" customHeight="1" x14ac:dyDescent="0.15">
      <c r="A651" s="21"/>
      <c r="B651" s="22"/>
      <c r="C651" s="22"/>
      <c r="D651" s="22"/>
      <c r="E651" s="22"/>
      <c r="F651" s="86" t="s">
        <v>392</v>
      </c>
      <c r="G651" s="80">
        <f>L227</f>
        <v>444057</v>
      </c>
      <c r="H651" s="80">
        <f>I599</f>
        <v>444057</v>
      </c>
      <c r="I651" s="87" t="s">
        <v>389</v>
      </c>
      <c r="J651" s="80">
        <f t="shared" si="51"/>
        <v>0</v>
      </c>
      <c r="K651" s="67"/>
      <c r="L651" s="69"/>
      <c r="M651" s="8"/>
    </row>
    <row r="652" spans="1:13" s="3" customFormat="1" ht="12.2" customHeight="1" x14ac:dyDescent="0.15">
      <c r="A652" s="21"/>
      <c r="B652" s="22"/>
      <c r="C652" s="22"/>
      <c r="D652" s="22"/>
      <c r="E652" s="22"/>
      <c r="F652" s="86" t="s">
        <v>393</v>
      </c>
      <c r="G652" s="80">
        <f>L245</f>
        <v>391080</v>
      </c>
      <c r="H652" s="80">
        <f>J599</f>
        <v>391080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258620</v>
      </c>
      <c r="H655" s="80">
        <f>K266+K347</f>
        <v>258620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9935913</v>
      </c>
      <c r="G661" s="13">
        <f>(L230+L310+L360)</f>
        <v>7901895</v>
      </c>
      <c r="H661" s="13">
        <f>(L248+L329+L361)</f>
        <v>9018556</v>
      </c>
      <c r="I661" s="13">
        <f>SUM(F661:H661)</f>
        <v>26856364</v>
      </c>
      <c r="J661" s="13"/>
      <c r="K661" s="13"/>
      <c r="L661" s="13"/>
      <c r="M661" s="9"/>
    </row>
    <row r="662" spans="1:13" s="3" customFormat="1" ht="12.2" customHeight="1" x14ac:dyDescent="0.2">
      <c r="A662" s="1" t="s">
        <v>127</v>
      </c>
      <c r="F662" s="13">
        <f>(L359/IF(SUM(L359:L361)=0,1,SUM(L359:L361))*(SUM(G97:G110)))</f>
        <v>143793.25208719916</v>
      </c>
      <c r="G662" s="13">
        <f>(L360/IF(SUM(L359:L361)=0,1,SUM(L359:L361))*(SUM(G97:G110)))</f>
        <v>101328.30499879598</v>
      </c>
      <c r="H662" s="13">
        <f>(L361/IF(SUM(L359:L361)=0,1,SUM(L359:L361))*(SUM(G97:G110)))</f>
        <v>134806.44291400485</v>
      </c>
      <c r="I662" s="13">
        <f>SUM(F662:H662)</f>
        <v>379928</v>
      </c>
      <c r="J662"/>
      <c r="K662" s="13"/>
      <c r="L662" s="13"/>
      <c r="M662" s="8"/>
    </row>
    <row r="663" spans="1:13" s="3" customFormat="1" ht="12.2" customHeight="1" x14ac:dyDescent="0.2">
      <c r="A663" s="1" t="s">
        <v>128</v>
      </c>
      <c r="F663" s="13">
        <f>(L209+L288)-(J209+J288)</f>
        <v>415171</v>
      </c>
      <c r="G663" s="13">
        <f>(L227+L307)-(J227+J307)</f>
        <v>454553</v>
      </c>
      <c r="H663" s="13">
        <f>(L245+L326)-(J245+J326)</f>
        <v>428538</v>
      </c>
      <c r="I663" s="13">
        <f>SUM(F663:H663)</f>
        <v>1298262</v>
      </c>
      <c r="J663"/>
      <c r="K663" s="13"/>
      <c r="L663" s="13"/>
      <c r="M663" s="9"/>
    </row>
    <row r="664" spans="1:13" s="3" customFormat="1" ht="12.2" customHeight="1" x14ac:dyDescent="0.15">
      <c r="A664" s="141" t="s">
        <v>129</v>
      </c>
      <c r="B664" s="124"/>
      <c r="C664" s="124"/>
      <c r="D664" s="124"/>
      <c r="E664" s="124"/>
      <c r="F664" s="142">
        <f>SUM(F576:F588)+SUM(H603:H605)+SUM(L612)</f>
        <v>105084</v>
      </c>
      <c r="G664" s="142">
        <f>SUM(G576:G588)+SUM(I603:I605)+L613</f>
        <v>81896</v>
      </c>
      <c r="H664" s="142">
        <f>SUM(H576:H588)+SUM(J603:J605)+L614</f>
        <v>513599</v>
      </c>
      <c r="I664" s="13">
        <f>SUM(F664:H664)</f>
        <v>700579</v>
      </c>
      <c r="J664" s="13"/>
      <c r="K664" s="13"/>
      <c r="L664" s="13"/>
      <c r="M664" s="9"/>
    </row>
    <row r="665" spans="1:13" s="3" customFormat="1" ht="12.2" customHeight="1" x14ac:dyDescent="0.15">
      <c r="A665" s="1" t="s">
        <v>130</v>
      </c>
      <c r="F665" s="13">
        <f>F661-SUM(F662:F664)</f>
        <v>9271864.7479128018</v>
      </c>
      <c r="G665" s="13">
        <f>G661-SUM(G662:G664)</f>
        <v>7264117.6950012036</v>
      </c>
      <c r="H665" s="13">
        <f>H661-SUM(H662:H664)</f>
        <v>7941612.5570859946</v>
      </c>
      <c r="I665" s="13">
        <f>I661-SUM(I662:I664)</f>
        <v>24477595</v>
      </c>
      <c r="J665" s="13"/>
      <c r="K665" s="13"/>
      <c r="L665" s="13"/>
      <c r="M665" s="8"/>
    </row>
    <row r="666" spans="1:13" s="3" customFormat="1" ht="12.2" customHeight="1" x14ac:dyDescent="0.2">
      <c r="A666" s="1" t="s">
        <v>131</v>
      </c>
      <c r="F666" s="182">
        <v>432.35</v>
      </c>
      <c r="G666" s="183">
        <v>366.16</v>
      </c>
      <c r="H666" s="183">
        <v>376.31</v>
      </c>
      <c r="I666" s="13">
        <f>SUM(F666:H666)</f>
        <v>1174.82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21445.279999999999</v>
      </c>
      <c r="G668" s="13">
        <f>ROUND(G665/G666,2)</f>
        <v>19838.64</v>
      </c>
      <c r="H668" s="13">
        <f>ROUND(H665/H666,2)</f>
        <v>21103.91</v>
      </c>
      <c r="I668" s="13">
        <f>ROUND(I665/I666,2)</f>
        <v>20835.189999999999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-7.83</v>
      </c>
      <c r="I671" s="13">
        <f>SUM(F671:H671)</f>
        <v>-7.83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21445.279999999999</v>
      </c>
      <c r="G673" s="13">
        <f>ROUND((G665+G670)/(G666+G671),2)</f>
        <v>19838.64</v>
      </c>
      <c r="H673" s="13">
        <f>ROUND((H665+H670)/(H666+H671),2)</f>
        <v>21552.36</v>
      </c>
      <c r="I673" s="13">
        <f>ROUND((I665+I670)/(I666+I671),2)</f>
        <v>20974.98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7" sqref="E17"/>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67562</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f>23504+15065+9139</f>
        <v>47708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6454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f>4500+8900</f>
        <v>13400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1" t="str">
        <f>'DOE25'!A2</f>
        <v>Winnisquam Regional</v>
      </c>
      <c r="C5" s="322"/>
      <c r="D5" s="322"/>
      <c r="E5" s="322"/>
      <c r="F5" s="322"/>
    </row>
    <row r="8" spans="1:9" ht="18" x14ac:dyDescent="0.25">
      <c r="A8" s="239" t="s">
        <v>1548</v>
      </c>
      <c r="F8" s="246" t="s">
        <v>1566</v>
      </c>
    </row>
    <row r="9" spans="1:9" ht="15" x14ac:dyDescent="0.2">
      <c r="A9" s="237" t="s">
        <v>1549</v>
      </c>
      <c r="B9" s="240">
        <f>'DOE25'!G97</f>
        <v>333350</v>
      </c>
      <c r="F9" s="237" t="s">
        <v>1562</v>
      </c>
    </row>
    <row r="10" spans="1:9" ht="15" x14ac:dyDescent="0.2">
      <c r="A10" s="237" t="s">
        <v>1550</v>
      </c>
      <c r="B10" s="240">
        <f>'DOE25'!G112-'DOE25'!G97</f>
        <v>46578</v>
      </c>
      <c r="F10" s="237" t="s">
        <v>1563</v>
      </c>
    </row>
    <row r="11" spans="1:9" ht="15" x14ac:dyDescent="0.2">
      <c r="A11" s="237" t="s">
        <v>1551</v>
      </c>
      <c r="B11" s="240">
        <f>'DOE25'!G140</f>
        <v>9004</v>
      </c>
      <c r="F11" s="237" t="s">
        <v>1564</v>
      </c>
    </row>
    <row r="12" spans="1:9" ht="15" x14ac:dyDescent="0.2">
      <c r="A12" s="237" t="s">
        <v>1552</v>
      </c>
      <c r="B12" s="240">
        <f>'DOE25'!G170</f>
        <v>355733</v>
      </c>
      <c r="F12" s="237" t="s">
        <v>1565</v>
      </c>
    </row>
    <row r="13" spans="1:9" ht="15" x14ac:dyDescent="0.2">
      <c r="A13" s="237" t="s">
        <v>1553</v>
      </c>
      <c r="B13" s="240">
        <f>'DOE25'!G193-'DOE25'!G180</f>
        <v>0</v>
      </c>
      <c r="F13" s="237" t="s">
        <v>1575</v>
      </c>
    </row>
    <row r="14" spans="1:9" ht="18" x14ac:dyDescent="0.25">
      <c r="A14" s="239" t="s">
        <v>732</v>
      </c>
      <c r="B14" s="241">
        <f>SUM(B9:B13)</f>
        <v>744665</v>
      </c>
    </row>
    <row r="16" spans="1:9" ht="18" x14ac:dyDescent="0.25">
      <c r="A16" s="239" t="s">
        <v>783</v>
      </c>
      <c r="F16" s="246" t="s">
        <v>1567</v>
      </c>
    </row>
    <row r="17" spans="1:6" ht="15" x14ac:dyDescent="0.2">
      <c r="A17" s="237" t="s">
        <v>1554</v>
      </c>
      <c r="B17" s="240">
        <f>'DOE25'!L363-'DOE25'!L362</f>
        <v>705970</v>
      </c>
      <c r="F17" s="237" t="s">
        <v>1568</v>
      </c>
    </row>
    <row r="18" spans="1:6" ht="15" x14ac:dyDescent="0.2">
      <c r="A18" s="237" t="s">
        <v>1555</v>
      </c>
      <c r="B18" s="250">
        <v>0</v>
      </c>
      <c r="F18" s="246" t="s">
        <v>1592</v>
      </c>
    </row>
    <row r="19" spans="1:6" ht="18" x14ac:dyDescent="0.25">
      <c r="A19" s="239" t="s">
        <v>725</v>
      </c>
      <c r="B19" s="241">
        <f>SUM(B17:B18)</f>
        <v>705970</v>
      </c>
    </row>
    <row r="21" spans="1:6" ht="18.75" thickBot="1" x14ac:dyDescent="0.3">
      <c r="A21" s="239" t="s">
        <v>1556</v>
      </c>
    </row>
    <row r="22" spans="1:6" ht="18.75" thickTop="1" x14ac:dyDescent="0.25">
      <c r="A22" s="239" t="s">
        <v>1557</v>
      </c>
      <c r="B22" s="245">
        <f>B14-B19</f>
        <v>38695</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345099</v>
      </c>
      <c r="F31" s="237" t="s">
        <v>1572</v>
      </c>
    </row>
    <row r="33" spans="1:6" ht="15" x14ac:dyDescent="0.2">
      <c r="A33" s="237" t="s">
        <v>1790</v>
      </c>
      <c r="B33" s="240">
        <f>'DOE25'!G477</f>
        <v>402799</v>
      </c>
      <c r="F33" s="237" t="s">
        <v>1573</v>
      </c>
    </row>
    <row r="36" spans="1:6" ht="15" x14ac:dyDescent="0.2">
      <c r="A36" s="237" t="s">
        <v>1559</v>
      </c>
      <c r="B36" s="251">
        <v>55344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115" zoomScaleNormal="115" workbookViewId="0">
      <selection activeCell="B15" sqref="B15:C15"/>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Winnisquam Regional</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5247111</v>
      </c>
      <c r="C9" s="166">
        <f>'DOE25'!G198+'DOE25'!G216+'DOE25'!G234+'DOE25'!G277+'DOE25'!G296+'DOE25'!G315</f>
        <v>2707745</v>
      </c>
    </row>
    <row r="10" spans="1:3" x14ac:dyDescent="0.2">
      <c r="A10" t="s">
        <v>772</v>
      </c>
      <c r="B10" s="176">
        <f>4727237+239893+172759</f>
        <v>5139889</v>
      </c>
      <c r="C10" s="176">
        <f>91362+1039+2550785</f>
        <v>2643186</v>
      </c>
    </row>
    <row r="11" spans="1:3" x14ac:dyDescent="0.2">
      <c r="A11" t="s">
        <v>773</v>
      </c>
      <c r="B11" s="176">
        <f>75880+4550</f>
        <v>80430</v>
      </c>
      <c r="C11" s="176">
        <f>39915</f>
        <v>39915</v>
      </c>
    </row>
    <row r="12" spans="1:3" x14ac:dyDescent="0.2">
      <c r="A12" t="s">
        <v>774</v>
      </c>
      <c r="B12" s="176">
        <f>5421+21371</f>
        <v>26792</v>
      </c>
      <c r="C12" s="176">
        <f>11348+13296</f>
        <v>24644</v>
      </c>
    </row>
    <row r="13" spans="1:3" x14ac:dyDescent="0.2">
      <c r="A13" t="str">
        <f>IF(B9=B13,IF(C9=C13,"Check Total OK","Check Total Error"),"Check Total Error")</f>
        <v>Check Total OK</v>
      </c>
      <c r="B13" s="168">
        <f>SUM(B10:B12)</f>
        <v>5247111</v>
      </c>
      <c r="C13" s="168">
        <f>SUM(C10:C12)</f>
        <v>2707745</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1728618</v>
      </c>
      <c r="C18" s="166">
        <f>'DOE25'!G199+'DOE25'!G217+'DOE25'!G235+'DOE25'!G278+'DOE25'!G297+'DOE25'!G316</f>
        <v>748309</v>
      </c>
    </row>
    <row r="19" spans="1:3" x14ac:dyDescent="0.2">
      <c r="A19" t="s">
        <v>772</v>
      </c>
      <c r="B19" s="176">
        <f>752976+183113</f>
        <v>936089</v>
      </c>
      <c r="C19" s="176">
        <v>493258</v>
      </c>
    </row>
    <row r="20" spans="1:3" x14ac:dyDescent="0.2">
      <c r="A20" t="s">
        <v>773</v>
      </c>
      <c r="B20" s="176">
        <f>679763</f>
        <v>679763</v>
      </c>
      <c r="C20" s="176">
        <v>217537</v>
      </c>
    </row>
    <row r="21" spans="1:3" x14ac:dyDescent="0.2">
      <c r="A21" t="s">
        <v>774</v>
      </c>
      <c r="B21" s="176">
        <f>9690+11110+49374+42592</f>
        <v>112766</v>
      </c>
      <c r="C21" s="176">
        <f>28782+8732</f>
        <v>37514</v>
      </c>
    </row>
    <row r="22" spans="1:3" x14ac:dyDescent="0.2">
      <c r="A22" t="str">
        <f>IF(B18=B22,IF(C18=C22,"Check Total OK","Check Total Error"),"Check Total Error")</f>
        <v>Check Total OK</v>
      </c>
      <c r="B22" s="168">
        <f>SUM(B19:B21)</f>
        <v>1728618</v>
      </c>
      <c r="C22" s="168">
        <f>SUM(C19:C21)</f>
        <v>748309</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121864</v>
      </c>
      <c r="C27" s="171">
        <f>'DOE25'!G200+'DOE25'!G218+'DOE25'!G236+'DOE25'!G279+'DOE25'!G298+'DOE25'!G317</f>
        <v>59312</v>
      </c>
    </row>
    <row r="28" spans="1:3" x14ac:dyDescent="0.2">
      <c r="A28" t="s">
        <v>772</v>
      </c>
      <c r="B28" s="176">
        <v>99301</v>
      </c>
      <c r="C28" s="176">
        <v>50634</v>
      </c>
    </row>
    <row r="29" spans="1:3" x14ac:dyDescent="0.2">
      <c r="A29" t="s">
        <v>773</v>
      </c>
      <c r="B29" s="176">
        <v>22563</v>
      </c>
      <c r="C29" s="176">
        <v>8678</v>
      </c>
    </row>
    <row r="30" spans="1:3" x14ac:dyDescent="0.2">
      <c r="A30" t="s">
        <v>774</v>
      </c>
      <c r="B30" s="176"/>
      <c r="C30" s="176"/>
    </row>
    <row r="31" spans="1:3" x14ac:dyDescent="0.2">
      <c r="A31" t="str">
        <f>IF(B27=B31,IF(C27=C31,"Check Total OK","Check Total Error"),"Check Total Error")</f>
        <v>Check Total OK</v>
      </c>
      <c r="B31" s="168">
        <f>SUM(B28:B30)</f>
        <v>121864</v>
      </c>
      <c r="C31" s="168">
        <f>SUM(C28:C30)</f>
        <v>59312</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327489</v>
      </c>
      <c r="C36" s="172">
        <f>'DOE25'!G201+'DOE25'!G219+'DOE25'!G237+'DOE25'!G280+'DOE25'!G299+'DOE25'!G318</f>
        <v>84082</v>
      </c>
    </row>
    <row r="37" spans="1:3" x14ac:dyDescent="0.2">
      <c r="A37" t="s">
        <v>772</v>
      </c>
      <c r="B37" s="176">
        <f>91783+22852</f>
        <v>114635</v>
      </c>
      <c r="C37" s="176">
        <f>25770+3100</f>
        <v>28870</v>
      </c>
    </row>
    <row r="38" spans="1:3" x14ac:dyDescent="0.2">
      <c r="A38" t="s">
        <v>773</v>
      </c>
      <c r="B38" s="176"/>
      <c r="C38" s="176"/>
    </row>
    <row r="39" spans="1:3" x14ac:dyDescent="0.2">
      <c r="A39" t="s">
        <v>774</v>
      </c>
      <c r="B39" s="176">
        <v>212854</v>
      </c>
      <c r="C39" s="176">
        <f>55212</f>
        <v>55212</v>
      </c>
    </row>
    <row r="40" spans="1:3" x14ac:dyDescent="0.2">
      <c r="A40" t="str">
        <f>IF(B36=B40,IF(C36=C40,"Check Total OK","Check Total Error"),"Check Total Error")</f>
        <v>Check Total OK</v>
      </c>
      <c r="B40" s="168">
        <f>SUM(B37:B39)</f>
        <v>327489</v>
      </c>
      <c r="C40" s="168">
        <f>SUM(C37:C39)</f>
        <v>84082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5" zoomScaleNormal="11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Winnisquam Regional</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13361979</v>
      </c>
      <c r="D5" s="19">
        <f>SUM('DOE25'!L198:L201)+SUM('DOE25'!L216:L219)+SUM('DOE25'!L234:L237)-F5-G5-H5</f>
        <v>11522913</v>
      </c>
      <c r="E5" s="179"/>
      <c r="F5" s="180">
        <f>593316+1175889</f>
        <v>1769205</v>
      </c>
      <c r="G5" s="19">
        <f>SUM('DOE25'!J198:J201)+SUM('DOE25'!J216:J219)+SUM('DOE25'!J234:J237)</f>
        <v>49159</v>
      </c>
      <c r="H5" s="19">
        <f>SUM('DOE25'!K198:K201)+SUM('DOE25'!K216:K219)+SUM('DOE25'!K234:K237)</f>
        <v>20702</v>
      </c>
      <c r="I5" s="191"/>
    </row>
    <row r="6" spans="1:9" x14ac:dyDescent="0.2">
      <c r="A6" s="31">
        <v>2100</v>
      </c>
      <c r="B6" t="s">
        <v>793</v>
      </c>
      <c r="C6" s="205">
        <f t="shared" si="0"/>
        <v>1499038</v>
      </c>
      <c r="D6" s="19">
        <f>'DOE25'!L203+'DOE25'!L221+'DOE25'!L239-F6-G6-H6</f>
        <v>1414001</v>
      </c>
      <c r="E6" s="179"/>
      <c r="F6" s="180">
        <f>78800</f>
        <v>78800</v>
      </c>
      <c r="G6" s="19">
        <f>'DOE25'!J203+'DOE25'!J221+'DOE25'!J239</f>
        <v>4995</v>
      </c>
      <c r="H6" s="19">
        <f>'DOE25'!K203+'DOE25'!K221+'DOE25'!K239</f>
        <v>1242</v>
      </c>
      <c r="I6" s="191"/>
    </row>
    <row r="7" spans="1:9" x14ac:dyDescent="0.2">
      <c r="A7" s="31">
        <v>2200</v>
      </c>
      <c r="B7" t="s">
        <v>817</v>
      </c>
      <c r="C7" s="205">
        <f t="shared" si="0"/>
        <v>935413</v>
      </c>
      <c r="D7" s="19">
        <f>'DOE25'!L204+'DOE25'!L222+'DOE25'!L240-F7-G7-H7</f>
        <v>934776</v>
      </c>
      <c r="E7" s="179"/>
      <c r="F7" s="180"/>
      <c r="G7" s="19">
        <f>'DOE25'!J204+'DOE25'!J222+'DOE25'!J240</f>
        <v>0</v>
      </c>
      <c r="H7" s="19">
        <f>'DOE25'!K204+'DOE25'!K222+'DOE25'!K240</f>
        <v>637</v>
      </c>
      <c r="I7" s="191"/>
    </row>
    <row r="8" spans="1:9" x14ac:dyDescent="0.2">
      <c r="A8" s="31">
        <v>2300</v>
      </c>
      <c r="B8" t="s">
        <v>794</v>
      </c>
      <c r="C8" s="205">
        <f t="shared" si="0"/>
        <v>2234784</v>
      </c>
      <c r="D8" s="179"/>
      <c r="E8" s="19">
        <f>'DOE25'!L205+'DOE25'!L223+'DOE25'!L241-F8-G8-H8-D9-D11</f>
        <v>2171340</v>
      </c>
      <c r="F8" s="180"/>
      <c r="G8" s="19">
        <f>'DOE25'!J205+'DOE25'!J223+'DOE25'!J241</f>
        <v>55057</v>
      </c>
      <c r="H8" s="19">
        <f>'DOE25'!K205+'DOE25'!K223+'DOE25'!K241</f>
        <v>8387</v>
      </c>
      <c r="I8" s="191"/>
    </row>
    <row r="9" spans="1:9" ht="14.25" x14ac:dyDescent="0.2">
      <c r="A9" s="31">
        <v>2310</v>
      </c>
      <c r="B9" s="71" t="s">
        <v>884</v>
      </c>
      <c r="C9" s="205">
        <f t="shared" si="0"/>
        <v>133660</v>
      </c>
      <c r="D9" s="180">
        <v>133660</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1621031</v>
      </c>
      <c r="D12" s="19">
        <f>'DOE25'!L206+'DOE25'!L224+'DOE25'!L242-F12-G12-H12</f>
        <v>1585665</v>
      </c>
      <c r="E12" s="179"/>
      <c r="F12" s="180"/>
      <c r="G12" s="19">
        <f>'DOE25'!J206+'DOE25'!J224+'DOE25'!J242</f>
        <v>23461</v>
      </c>
      <c r="H12" s="19">
        <f>'DOE25'!K206+'DOE25'!K224+'DOE25'!K242</f>
        <v>11905</v>
      </c>
      <c r="I12" s="191"/>
    </row>
    <row r="13" spans="1:9" x14ac:dyDescent="0.2">
      <c r="A13" s="31">
        <v>2500</v>
      </c>
      <c r="B13" t="s">
        <v>795</v>
      </c>
      <c r="C13" s="205">
        <f t="shared" si="0"/>
        <v>394217</v>
      </c>
      <c r="D13" s="179"/>
      <c r="E13" s="19">
        <f>'DOE25'!L207+'DOE25'!L225+'DOE25'!L243-F13-G13-H13</f>
        <v>346475</v>
      </c>
      <c r="F13" s="180">
        <f>47742</f>
        <v>47742</v>
      </c>
      <c r="G13" s="19">
        <f>'DOE25'!J207+'DOE25'!J225+'DOE25'!J243</f>
        <v>0</v>
      </c>
      <c r="H13" s="19">
        <f>'DOE25'!K207+'DOE25'!K225+'DOE25'!K243</f>
        <v>0</v>
      </c>
      <c r="I13" s="191"/>
    </row>
    <row r="14" spans="1:9" x14ac:dyDescent="0.2">
      <c r="A14" s="31">
        <v>2600</v>
      </c>
      <c r="B14" t="s">
        <v>815</v>
      </c>
      <c r="C14" s="205">
        <f t="shared" si="0"/>
        <v>2108783</v>
      </c>
      <c r="D14" s="19">
        <f>'DOE25'!L208+'DOE25'!L226+'DOE25'!L244-F14-G14-H14</f>
        <v>1806793</v>
      </c>
      <c r="E14" s="179"/>
      <c r="F14" s="180">
        <f>273000</f>
        <v>273000</v>
      </c>
      <c r="G14" s="19">
        <f>'DOE25'!J208+'DOE25'!J226+'DOE25'!J244</f>
        <v>4263</v>
      </c>
      <c r="H14" s="19">
        <f>'DOE25'!K208+'DOE25'!K226+'DOE25'!K244</f>
        <v>24727</v>
      </c>
      <c r="I14" s="191"/>
    </row>
    <row r="15" spans="1:9" x14ac:dyDescent="0.2">
      <c r="A15" s="31">
        <v>2700</v>
      </c>
      <c r="B15" t="s">
        <v>796</v>
      </c>
      <c r="C15" s="205">
        <f t="shared" si="0"/>
        <v>1239138</v>
      </c>
      <c r="D15" s="19">
        <f>'DOE25'!L209+'DOE25'!L227+'DOE25'!L245-F15-G15-H15</f>
        <v>227157</v>
      </c>
      <c r="E15" s="179"/>
      <c r="F15" s="180">
        <f>749297+216629+46055</f>
        <v>1011981</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v>0</v>
      </c>
      <c r="G16" s="19">
        <f>'DOE25'!J210+'DOE25'!J228+'DOE25'!J246</f>
        <v>0</v>
      </c>
      <c r="H16" s="19">
        <f>'DOE25'!K210+'DOE25'!K228+'DOE25'!K246</f>
        <v>0</v>
      </c>
      <c r="I16" s="191"/>
    </row>
    <row r="17" spans="1:9" x14ac:dyDescent="0.2">
      <c r="A17" s="31">
        <v>1600</v>
      </c>
      <c r="B17" t="s">
        <v>798</v>
      </c>
      <c r="C17" s="205">
        <f t="shared" si="0"/>
        <v>0</v>
      </c>
      <c r="D17" s="19">
        <f>'DOE25'!L252-F17-G17-H17</f>
        <v>0</v>
      </c>
      <c r="E17" s="179"/>
      <c r="F17" s="180">
        <v>0</v>
      </c>
      <c r="G17" s="19">
        <f>'DOE25'!J252</f>
        <v>0</v>
      </c>
      <c r="H17" s="19">
        <f>'DOE25'!K252</f>
        <v>0</v>
      </c>
      <c r="I17" s="191"/>
    </row>
    <row r="18" spans="1:9" x14ac:dyDescent="0.2">
      <c r="A18" s="31">
        <v>1700</v>
      </c>
      <c r="B18" t="s">
        <v>799</v>
      </c>
      <c r="C18" s="205">
        <f t="shared" si="0"/>
        <v>0</v>
      </c>
      <c r="D18" s="19">
        <f>'DOE25'!L253-F18-G18-H18</f>
        <v>0</v>
      </c>
      <c r="E18" s="179"/>
      <c r="F18" s="180">
        <v>0</v>
      </c>
      <c r="G18" s="19">
        <f>'DOE25'!J253</f>
        <v>0</v>
      </c>
      <c r="H18" s="19">
        <f>'DOE25'!K253</f>
        <v>0</v>
      </c>
      <c r="I18" s="191"/>
    </row>
    <row r="19" spans="1:9" x14ac:dyDescent="0.2">
      <c r="A19" s="31">
        <v>1800</v>
      </c>
      <c r="B19" t="s">
        <v>800</v>
      </c>
      <c r="C19" s="205">
        <f t="shared" si="0"/>
        <v>0</v>
      </c>
      <c r="D19" s="19">
        <f>'DOE25'!L254-F19-G19-H19</f>
        <v>0</v>
      </c>
      <c r="E19" s="179"/>
      <c r="F19" s="180">
        <v>0</v>
      </c>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826020</v>
      </c>
      <c r="D22" s="179"/>
      <c r="E22" s="179"/>
      <c r="F22" s="179"/>
      <c r="G22" s="19">
        <f>'DOE25'!L256+'DOE25'!L337</f>
        <v>826020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238601</v>
      </c>
      <c r="D25" s="179"/>
      <c r="E25" s="179"/>
      <c r="F25" s="190"/>
      <c r="G25" s="179"/>
      <c r="H25" s="179"/>
      <c r="I25" s="189">
        <f>'DOE25'!L261+'DOE25'!L262+'DOE25'!L342+'DOE25'!L343</f>
        <v>238601</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442023</v>
      </c>
      <c r="D29" s="211">
        <f>'DOE25'!L359+'DOE25'!L360+'DOE25'!L361-'DOE25'!I368-F29-G29-H29-F39</f>
        <v>385471</v>
      </c>
      <c r="E29" s="179"/>
      <c r="F29" s="179"/>
      <c r="G29" s="19">
        <f>'DOE25'!J359+'DOE25'!J360+'DOE25'!J361</f>
        <v>50754</v>
      </c>
      <c r="H29" s="19">
        <f>'DOE25'!K359+'DOE25'!K360+'DOE25'!K361</f>
        <v>5798</v>
      </c>
      <c r="I29" s="191"/>
    </row>
    <row r="30" spans="1:9" x14ac:dyDescent="0.2">
      <c r="A30" s="31"/>
      <c r="C30" s="206"/>
      <c r="D30" s="19"/>
      <c r="F30" s="200"/>
      <c r="G30" s="19"/>
      <c r="H30" s="19"/>
      <c r="I30" s="191"/>
    </row>
    <row r="31" spans="1:9" x14ac:dyDescent="0.2">
      <c r="A31" s="31" t="s">
        <v>814</v>
      </c>
      <c r="B31" t="s">
        <v>813</v>
      </c>
      <c r="C31" s="205">
        <f>SUM(D31:I31)</f>
        <v>2622351</v>
      </c>
      <c r="D31" s="19">
        <f>'DOE25'!L291+'DOE25'!L310+'DOE25'!L329+'DOE25'!L334+'DOE25'!L335+'DOE25'!L336-F31-G31-H31</f>
        <v>1540517</v>
      </c>
      <c r="E31" s="179"/>
      <c r="F31" s="180">
        <f>121476+31005+724181+157238</f>
        <v>1033900</v>
      </c>
      <c r="G31" s="19">
        <f>'DOE25'!J291+'DOE25'!J310+'DOE25'!J329+'DOE25'!J334+'DOE25'!J335+'DOE25'!J336</f>
        <v>45060</v>
      </c>
      <c r="H31" s="19">
        <f>'DOE25'!K291+'DOE25'!K310+'DOE25'!K329+'DOE25'!K334+'DOE25'!K335+'DOE25'!K336</f>
        <v>2874</v>
      </c>
      <c r="I31" s="191"/>
    </row>
    <row r="32" spans="1:9" ht="12" thickBot="1" x14ac:dyDescent="0.25">
      <c r="C32" s="206"/>
      <c r="G32" s="187"/>
      <c r="H32" s="187"/>
      <c r="I32" s="193"/>
    </row>
    <row r="33" spans="1:9" ht="12" thickTop="1" x14ac:dyDescent="0.2">
      <c r="B33" t="s">
        <v>806</v>
      </c>
      <c r="D33" s="181">
        <f t="shared" ref="D33:I33" si="1">SUM(D5:D31)</f>
        <v>19550953</v>
      </c>
      <c r="E33" s="181">
        <f t="shared" si="1"/>
        <v>2517815</v>
      </c>
      <c r="F33" s="181">
        <f t="shared" si="1"/>
        <v>4214628</v>
      </c>
      <c r="G33" s="181">
        <f t="shared" si="1"/>
        <v>1058769</v>
      </c>
      <c r="H33" s="181">
        <f t="shared" si="1"/>
        <v>76272</v>
      </c>
      <c r="I33" s="181">
        <f t="shared" si="1"/>
        <v>238601</v>
      </c>
    </row>
    <row r="34" spans="1:9" ht="12" thickBot="1" x14ac:dyDescent="0.25"/>
    <row r="35" spans="1:9" ht="12" thickBot="1" x14ac:dyDescent="0.25">
      <c r="B35" s="187" t="s">
        <v>827</v>
      </c>
      <c r="D35" s="188">
        <f>E33</f>
        <v>2517815</v>
      </c>
      <c r="E35" s="184"/>
      <c r="F35" s="294" t="s">
        <v>1596</v>
      </c>
      <c r="G35" s="295"/>
      <c r="H35" s="295"/>
      <c r="I35" s="296"/>
    </row>
    <row r="36" spans="1:9" ht="12" thickTop="1" x14ac:dyDescent="0.2">
      <c r="B36" t="s">
        <v>807</v>
      </c>
      <c r="D36" s="19">
        <f>D33</f>
        <v>19550953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zoomScaleNormal="100" workbookViewId="0">
      <selection activeCell="I4" sqref="I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Winnisquam Regional</v>
      </c>
      <c r="B2">
        <f>'DOE25'!B2</f>
        <v>582</v>
      </c>
      <c r="J2" s="223" t="s">
        <v>1799</v>
      </c>
      <c r="K2" s="308">
        <f>SUM('DOE25'!L198:L201)+SUM('DOE25'!L277:L280)</f>
        <v>5848726</v>
      </c>
      <c r="L2" s="308">
        <f>'DOE25'!L203+'DOE25'!L282</f>
        <v>665750</v>
      </c>
      <c r="M2" s="308">
        <f>'DOE25'!L204+'DOE25'!L283</f>
        <v>418818</v>
      </c>
      <c r="N2" s="308">
        <f>'DOE25'!L206+'DOE25'!L285</f>
        <v>581023</v>
      </c>
      <c r="O2" s="316">
        <f>'Salaries-Benefits'!B10+'Salaries-Benefits'!B12+'Salaries-Benefits'!B19+'Salaries-Benefits'!B21+'Salaries-Benefits'!B28+'Salaries-Benefits'!B30+'Salaries-Benefits'!B37+'Salaries-Benefits'!B39</f>
        <v>6642326</v>
      </c>
      <c r="P2" s="316">
        <f>'Salaries-Benefits'!B11+'Salaries-Benefits'!B20+'Salaries-Benefits'!B29+'Salaries-Benefits'!B38</f>
        <v>782756</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9668721</v>
      </c>
      <c r="G4" s="228">
        <f>'DOE25'!L212+'DOE25'!L291</f>
        <v>9668721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Sanbornton Central School</v>
      </c>
      <c r="B6" s="229">
        <f>IFERROR(VLOOKUP(A6,'School Tables'!$C$3:$D$365,2,FALSE),"")</f>
        <v>22925</v>
      </c>
      <c r="C6" s="222" t="str">
        <f>IFERROR(INDEX('School Tables'!$B$3:$B$365,MATCH('School Level Expenditures'!B6,'School Tables'!$D$3:$D$365,0)),"")</f>
        <v>Winnisquam Regional</v>
      </c>
      <c r="D6" s="219">
        <f>2520622+1071669</f>
        <v>3592291</v>
      </c>
      <c r="E6" s="219">
        <f>200760+85702</f>
        <v>286462</v>
      </c>
      <c r="F6" s="231">
        <f t="shared" ref="F6:F20" si="2">D6+E6</f>
        <v>3878753</v>
      </c>
      <c r="G6" s="222"/>
      <c r="H6" s="222"/>
      <c r="J6" t="str">
        <f t="shared" ref="J6:J20" si="3">A6</f>
        <v>Sanbornton Central School</v>
      </c>
      <c r="K6" s="20">
        <f>1661736+572762</f>
        <v>2234498</v>
      </c>
      <c r="L6" s="20">
        <f>206266+70717</f>
        <v>276983</v>
      </c>
      <c r="M6" s="307">
        <f>88313+85734</f>
        <v>174047</v>
      </c>
      <c r="N6" s="20">
        <f>17428+224960</f>
        <v>242388</v>
      </c>
      <c r="O6" s="20">
        <f>900640+24596+13264</f>
        <v>938500</v>
      </c>
      <c r="P6" s="20">
        <f>12454+177500</f>
        <v>189954</v>
      </c>
      <c r="Q6" s="20">
        <f>5201+6025</f>
        <v>11226</v>
      </c>
    </row>
    <row r="7" spans="1:22" x14ac:dyDescent="0.2">
      <c r="A7" t="str" cm="1">
        <f t="array" ref="A7">IFERROR(INDEX('School Tables'!$A$4:$G$365,'School Tables'!$J5,3),"")</f>
        <v>Southwick School</v>
      </c>
      <c r="B7" s="229">
        <f>IFERROR(VLOOKUP(A7,'School Tables'!$C$3:$D$365,2,FALSE),"")</f>
        <v>27070</v>
      </c>
      <c r="C7" s="222" t="str">
        <f>IFERROR(INDEX('School Tables'!$B$3:$B$365,MATCH('School Level Expenditures'!B7,'School Tables'!$D$3:$D$365,0)),"")</f>
        <v>Winnisquam Regional</v>
      </c>
      <c r="D7" s="219">
        <f>3408718+1529236</f>
        <v>4937954</v>
      </c>
      <c r="E7" s="219">
        <f>332054+122295</f>
        <v>454349</v>
      </c>
      <c r="F7" s="231">
        <f t="shared" si="2"/>
        <v>5392303</v>
      </c>
      <c r="G7" s="222"/>
      <c r="H7" s="222"/>
      <c r="J7" t="str">
        <f t="shared" si="3"/>
        <v>Southwick School</v>
      </c>
      <c r="K7" s="20">
        <f>2505279+817313</f>
        <v>3322592</v>
      </c>
      <c r="L7" s="20">
        <f>274745+100911</f>
        <v>375656</v>
      </c>
      <c r="M7" s="307">
        <f>106536+122341</f>
        <v>228877</v>
      </c>
      <c r="N7" s="20">
        <f>24869+310535</f>
        <v>335404</v>
      </c>
      <c r="O7" s="20">
        <f>1385748+52849+18927</f>
        <v>1457524</v>
      </c>
      <c r="P7" s="20">
        <f>17771+266134</f>
        <v>283905</v>
      </c>
      <c r="Q7" s="20">
        <f>7896+9013</f>
        <v>16909</v>
      </c>
    </row>
    <row r="8" spans="1:22" x14ac:dyDescent="0.2">
      <c r="A8" t="str" cm="1">
        <f t="array" ref="A8">IFERROR(INDEX('School Tables'!$A$4:$G$365,'School Tables'!$J6,3),"")</f>
        <v>Winnisquam Early Learning Center</v>
      </c>
      <c r="B8" s="229">
        <f>IFERROR(VLOOKUP(A8,'School Tables'!$C$3:$D$365,2,FALSE),"")</f>
        <v>29247</v>
      </c>
      <c r="C8" s="222" t="str">
        <f>IFERROR(INDEX('School Tables'!$B$3:$B$365,MATCH('School Level Expenditures'!B8,'School Tables'!$D$3:$D$365,0)),"")</f>
        <v>Winnisquam Regional</v>
      </c>
      <c r="D8" s="219">
        <f>185450+198681</f>
        <v>384131</v>
      </c>
      <c r="E8" s="219">
        <v>13534</v>
      </c>
      <c r="F8" s="231">
        <f t="shared" si="2"/>
        <v>397665</v>
      </c>
      <c r="G8" s="222"/>
      <c r="H8" s="222"/>
      <c r="J8" t="str">
        <f t="shared" si="3"/>
        <v>Winnisquam Early Learning Center</v>
      </c>
      <c r="K8" s="20">
        <f>185450+106186</f>
        <v>291636</v>
      </c>
      <c r="L8" s="20">
        <f>13111</f>
        <v>13111</v>
      </c>
      <c r="M8" s="307">
        <f>15894</f>
        <v>15894</v>
      </c>
      <c r="N8" s="20">
        <f>3231</f>
        <v>3231</v>
      </c>
      <c r="O8" s="20">
        <f>2459+110349</f>
        <v>112808</v>
      </c>
      <c r="P8" s="20">
        <f>2309+10345</f>
        <v>12654</v>
      </c>
      <c r="Q8" s="20">
        <f>1034</f>
        <v>1034</v>
      </c>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8914376</v>
      </c>
      <c r="E21" s="261">
        <f>SUM(E5:E20)</f>
        <v>754345</v>
      </c>
      <c r="F21" s="216"/>
      <c r="G21" s="216"/>
      <c r="H21" s="216"/>
      <c r="K21" s="262">
        <f t="shared" ref="K21:Q21" si="4">SUM(K5:K20)</f>
        <v>5848726</v>
      </c>
      <c r="L21" s="262">
        <f t="shared" si="4"/>
        <v>665750</v>
      </c>
      <c r="M21" s="262">
        <f t="shared" si="4"/>
        <v>418818</v>
      </c>
      <c r="N21" s="262">
        <f t="shared" si="4"/>
        <v>581023</v>
      </c>
      <c r="O21" s="262">
        <f t="shared" si="4"/>
        <v>2508832</v>
      </c>
      <c r="P21" s="262">
        <f t="shared" si="4"/>
        <v>486513</v>
      </c>
      <c r="Q21" s="262">
        <f t="shared" si="4"/>
        <v>29169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4108356</v>
      </c>
      <c r="L23" s="19">
        <f>'DOE25'!L221+'DOE25'!L301</f>
        <v>580307</v>
      </c>
      <c r="M23" s="19">
        <f>'DOE25'!L222+'DOE25'!L302</f>
        <v>328370</v>
      </c>
      <c r="N23" s="19">
        <f>'DOE25'!L224+'DOE25'!L304</f>
        <v>482650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7713610</v>
      </c>
      <c r="G25" s="228">
        <f>'DOE25'!L230+'DOE25'!L310</f>
        <v>7713610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8"/>
      <c r="L26" s="315"/>
      <c r="M26" s="315"/>
      <c r="N26" s="315"/>
      <c r="O26" s="315"/>
      <c r="P26" s="315"/>
      <c r="Q26" s="315"/>
    </row>
    <row r="27" spans="1:17" x14ac:dyDescent="0.2">
      <c r="A27" t="str" cm="1">
        <f t="array" ref="A27">IFERROR(INDEX('School Tables'!$L$4:$R$100,'School Tables'!$U4,3),"")</f>
        <v>Winnisquam Regional Middle School</v>
      </c>
      <c r="B27" s="229">
        <f>IFERROR(VLOOKUP(A27,'School Tables'!$N$4:$O$100,2,FALSE),"")</f>
        <v>22955</v>
      </c>
      <c r="C27" s="222" t="str">
        <f>IFERROR(INDEX('School Tables'!$M$4:$M$100,MATCH('School Level Expenditures'!A27,'School Tables'!$N$4:$N$100,0)),"")</f>
        <v>Winnisquam Regional</v>
      </c>
      <c r="D27" s="219">
        <f>4473582+1978560+444057</f>
        <v>6896199</v>
      </c>
      <c r="E27" s="219">
        <f>817411-E26</f>
        <v>817411</v>
      </c>
      <c r="F27" s="231">
        <f t="shared" ref="F27:F33" si="6">D27+E27</f>
        <v>7713610</v>
      </c>
      <c r="G27" s="222"/>
      <c r="H27" s="222"/>
      <c r="J27" t="str">
        <f t="shared" ref="J27:J33" si="7">A27</f>
        <v>Winnisquam Regional Middle School</v>
      </c>
      <c r="K27" s="101">
        <f>4108356-K26</f>
        <v>4108356</v>
      </c>
      <c r="L27" s="20">
        <v>580307</v>
      </c>
      <c r="M27" s="307">
        <v>328370</v>
      </c>
      <c r="N27" s="20">
        <v>482650</v>
      </c>
      <c r="O27" s="20">
        <f>72414+1883152+183762</f>
        <v>2139328</v>
      </c>
      <c r="P27" s="20">
        <v>150100</v>
      </c>
      <c r="Q27" s="20">
        <f>11132+13728</f>
        <v>24860</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6896199</v>
      </c>
      <c r="E34" s="261">
        <f>SUM(E26:E33)</f>
        <v>817411</v>
      </c>
      <c r="F34" s="216"/>
      <c r="G34" s="216"/>
      <c r="H34" s="216"/>
      <c r="K34" s="262">
        <f t="shared" ref="K34:Q34" si="8">SUM(K26:K33)</f>
        <v>4108356</v>
      </c>
      <c r="L34" s="262">
        <f t="shared" si="8"/>
        <v>580307</v>
      </c>
      <c r="M34" s="262">
        <f t="shared" si="8"/>
        <v>328370</v>
      </c>
      <c r="N34" s="262">
        <f t="shared" si="8"/>
        <v>482650</v>
      </c>
      <c r="O34" s="262">
        <f t="shared" si="8"/>
        <v>2139328</v>
      </c>
      <c r="P34" s="262">
        <f t="shared" si="8"/>
        <v>150100</v>
      </c>
      <c r="Q34" s="262">
        <f t="shared" si="8"/>
        <v>24860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4674535</v>
      </c>
      <c r="L36" s="19">
        <f>'DOE25'!L239+'DOE25'!L320</f>
        <v>781032</v>
      </c>
      <c r="M36" s="19">
        <f>'DOE25'!L240+'DOE25'!L321</f>
        <v>309776</v>
      </c>
      <c r="N36" s="19">
        <f>'DOE25'!L242+'DOE25'!L323</f>
        <v>557358</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8768063</v>
      </c>
      <c r="G38" s="228">
        <f>'DOE25'!L248+'DOE25'!L329</f>
        <v>8768063</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'DOE25'!H589+'DOE25'!J594+3725+7150</f>
        <v>433804</v>
      </c>
      <c r="E39" s="219"/>
      <c r="F39" s="231">
        <f t="shared" ref="F39:F44" si="10">D39+E39</f>
        <v>433804</v>
      </c>
      <c r="G39" s="222"/>
      <c r="H39" s="222"/>
      <c r="J39" s="71" t="s">
        <v>1840</v>
      </c>
      <c r="K39" s="318">
        <f>'DOE25'!H589</f>
        <v>411599</v>
      </c>
      <c r="L39" s="315"/>
      <c r="M39" s="315"/>
      <c r="N39" s="315"/>
      <c r="O39" s="315"/>
      <c r="P39" s="315"/>
      <c r="Q39" s="315"/>
    </row>
    <row r="40" spans="1:17" x14ac:dyDescent="0.2">
      <c r="A40" t="str" cm="1">
        <f t="array" ref="A40">IFERROR(INDEX('School Tables'!$W$4:$AC$120,'School Tables'!$AF4,3),"")</f>
        <v>Winnisquam Regional High School</v>
      </c>
      <c r="B40" s="229">
        <f>IFERROR(VLOOKUP(A40,'School Tables'!$Y$4:$Z$120,2,FALSE),"")</f>
        <v>22950</v>
      </c>
      <c r="C40" s="222" t="str">
        <f>IFERROR(INDEX('School Tables'!$X$4:$X$120,MATCH('School Level Expenditures'!A40,'School Tables'!$Y$4:$Y$120,0)),"")</f>
        <v>Winnisquam Regional</v>
      </c>
      <c r="D40" s="219">
        <f>7695806-D39+21662</f>
        <v>7283664</v>
      </c>
      <c r="E40" s="219">
        <f>'DOE25'!L329-E39</f>
        <v>1050595</v>
      </c>
      <c r="F40" s="231">
        <f t="shared" si="10"/>
        <v>8334259</v>
      </c>
      <c r="G40" s="222"/>
      <c r="H40" s="222"/>
      <c r="J40" t="str">
        <f>A40</f>
        <v>Winnisquam Regional High School</v>
      </c>
      <c r="K40" s="20">
        <f>4067039+195897</f>
        <v>4262936</v>
      </c>
      <c r="L40" s="20">
        <v>781032</v>
      </c>
      <c r="M40" s="307">
        <v>309776</v>
      </c>
      <c r="N40" s="20">
        <v>557358</v>
      </c>
      <c r="O40" s="20">
        <f>187112+1636721+127741+42592</f>
        <v>1994166</v>
      </c>
      <c r="P40" s="20">
        <v>146143</v>
      </c>
      <c r="Q40" s="20">
        <f>16718+16146</f>
        <v>32864</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7717468</v>
      </c>
      <c r="E45" s="262">
        <f>SUM(E39:E44)</f>
        <v>1050595</v>
      </c>
      <c r="K45" s="262">
        <f t="shared" ref="K45:Q45" si="11">SUM(K39:K44)</f>
        <v>4674535</v>
      </c>
      <c r="L45" s="262">
        <f t="shared" si="11"/>
        <v>781032</v>
      </c>
      <c r="M45" s="262">
        <f t="shared" si="11"/>
        <v>309776</v>
      </c>
      <c r="N45" s="262">
        <f t="shared" si="11"/>
        <v>557358</v>
      </c>
      <c r="O45" s="262">
        <f t="shared" si="11"/>
        <v>1994166</v>
      </c>
      <c r="P45" s="262">
        <f t="shared" si="11"/>
        <v>146143</v>
      </c>
      <c r="Q45" s="262">
        <f t="shared" si="11"/>
        <v>32864</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38"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9" zoomScale="80" zoomScaleNormal="80" workbookViewId="0">
      <selection activeCell="C13" sqref="C1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Winnisquam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4103392</v>
      </c>
      <c r="D8" s="73">
        <f>'DOE25'!G9</f>
        <v>394388</v>
      </c>
      <c r="E8" s="73">
        <f>'DOE25'!H9</f>
        <v>14097</v>
      </c>
      <c r="F8" s="73">
        <f>'DOE25'!I9</f>
        <v>0</v>
      </c>
      <c r="G8" s="73">
        <f>'DOE25'!J9</f>
        <v>1916717</v>
      </c>
      <c r="H8" s="13">
        <f>SUM(C8:G8)</f>
        <v>6428594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1638128</v>
      </c>
      <c r="G11" s="73">
        <f>'DOE25'!J12</f>
        <v>0</v>
      </c>
      <c r="H11" s="13">
        <f t="shared" si="0"/>
        <v>1638128</v>
      </c>
      <c r="I11" s="90"/>
    </row>
    <row r="12" spans="1:9" x14ac:dyDescent="0.2">
      <c r="A12" s="1" t="s">
        <v>143</v>
      </c>
      <c r="B12" s="6">
        <v>140</v>
      </c>
      <c r="C12" s="73">
        <f>'DOE25'!F13</f>
        <v>105994</v>
      </c>
      <c r="D12" s="73">
        <f>'DOE25'!G13</f>
        <v>20986</v>
      </c>
      <c r="E12" s="73">
        <f>'DOE25'!H13</f>
        <v>965652</v>
      </c>
      <c r="F12" s="73">
        <f>'DOE25'!I13</f>
        <v>455448</v>
      </c>
      <c r="G12" s="73">
        <f>'DOE25'!J13</f>
        <v>0</v>
      </c>
      <c r="H12" s="13">
        <f t="shared" si="0"/>
        <v>1548080</v>
      </c>
      <c r="I12" s="90"/>
    </row>
    <row r="13" spans="1:9" x14ac:dyDescent="0.2">
      <c r="A13" s="1" t="s">
        <v>144</v>
      </c>
      <c r="B13" s="6">
        <v>150</v>
      </c>
      <c r="C13" s="73">
        <f>'DOE25'!F14</f>
        <v>5290</v>
      </c>
      <c r="D13" s="73">
        <f>'DOE25'!G14</f>
        <v>0</v>
      </c>
      <c r="E13" s="73">
        <f>'DOE25'!H14</f>
        <v>0</v>
      </c>
      <c r="F13" s="73">
        <f>'DOE25'!I14</f>
        <v>0</v>
      </c>
      <c r="G13" s="73">
        <f>'DOE25'!J14</f>
        <v>0</v>
      </c>
      <c r="H13" s="13">
        <f t="shared" si="0"/>
        <v>5290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5642</v>
      </c>
      <c r="D16" s="73">
        <f>'DOE25'!G17</f>
        <v>0</v>
      </c>
      <c r="E16" s="73">
        <f>'DOE25'!H17</f>
        <v>0</v>
      </c>
      <c r="F16" s="73">
        <f>'DOE25'!I17</f>
        <v>0</v>
      </c>
      <c r="G16" s="73">
        <f>'DOE25'!J17</f>
        <v>0</v>
      </c>
      <c r="H16" s="13">
        <f t="shared" si="0"/>
        <v>5642</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4220318</v>
      </c>
      <c r="D18" s="38">
        <f>SUM(D8:D17)</f>
        <v>415374</v>
      </c>
      <c r="E18" s="38">
        <f>SUM(E8:E17)</f>
        <v>979749</v>
      </c>
      <c r="F18" s="38">
        <f>SUM(F8:F17)</f>
        <v>2093576</v>
      </c>
      <c r="G18" s="38">
        <f>SUM(G8:G17)</f>
        <v>1916717</v>
      </c>
      <c r="H18" s="38">
        <f t="shared" si="0"/>
        <v>9625734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152982</v>
      </c>
      <c r="D21" s="73">
        <f>'DOE25'!G22</f>
        <v>0</v>
      </c>
      <c r="E21" s="73">
        <f>'DOE25'!H22</f>
        <v>965652</v>
      </c>
      <c r="F21" s="73">
        <f>'DOE25'!I22</f>
        <v>0</v>
      </c>
      <c r="G21" s="73">
        <f>'DOE25'!J22</f>
        <v>0</v>
      </c>
      <c r="H21" s="13">
        <f t="shared" ref="H21:H31" si="1">SUM(C21:G21)</f>
        <v>1118634</v>
      </c>
      <c r="I21" s="90"/>
    </row>
    <row r="22" spans="1:9" x14ac:dyDescent="0.2">
      <c r="A22" s="1" t="s">
        <v>151</v>
      </c>
      <c r="B22" s="6">
        <v>410</v>
      </c>
      <c r="C22" s="73">
        <f>'DOE25'!F23</f>
        <v>76838</v>
      </c>
      <c r="D22" s="73">
        <f>'DOE25'!G23</f>
        <v>0</v>
      </c>
      <c r="E22" s="73">
        <f>'DOE25'!H23</f>
        <v>0</v>
      </c>
      <c r="F22" s="73">
        <f>'DOE25'!I23</f>
        <v>0</v>
      </c>
      <c r="G22" s="73">
        <f>'DOE25'!J23</f>
        <v>0</v>
      </c>
      <c r="H22" s="13">
        <f t="shared" si="1"/>
        <v>76838</v>
      </c>
      <c r="I22" s="90"/>
    </row>
    <row r="23" spans="1:9" x14ac:dyDescent="0.2">
      <c r="A23" s="1" t="s">
        <v>152</v>
      </c>
      <c r="B23" s="6">
        <v>420</v>
      </c>
      <c r="C23" s="73">
        <f>'DOE25'!F24</f>
        <v>172775</v>
      </c>
      <c r="D23" s="73">
        <f>'DOE25'!G24</f>
        <v>12575</v>
      </c>
      <c r="E23" s="73">
        <f>'DOE25'!H24</f>
        <v>0</v>
      </c>
      <c r="F23" s="73">
        <f>'DOE25'!I24</f>
        <v>0</v>
      </c>
      <c r="G23" s="73">
        <f>'DOE25'!J24</f>
        <v>0</v>
      </c>
      <c r="H23" s="13">
        <f t="shared" si="1"/>
        <v>185350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100576</v>
      </c>
      <c r="D28" s="73">
        <f>'DOE25'!G29</f>
        <v>0</v>
      </c>
      <c r="E28" s="73">
        <f>'DOE25'!H29</f>
        <v>0</v>
      </c>
      <c r="F28" s="73">
        <f>'DOE25'!I29</f>
        <v>0</v>
      </c>
      <c r="G28" s="23" t="s">
        <v>288</v>
      </c>
      <c r="H28" s="13">
        <f t="shared" si="1"/>
        <v>100576</v>
      </c>
      <c r="I28" s="90"/>
    </row>
    <row r="29" spans="1:9" x14ac:dyDescent="0.2">
      <c r="A29" s="1" t="s">
        <v>158</v>
      </c>
      <c r="B29" s="6">
        <v>480</v>
      </c>
      <c r="C29" s="73">
        <f>'DOE25'!F30</f>
        <v>0</v>
      </c>
      <c r="D29" s="73">
        <f>'DOE25'!G30</f>
        <v>0</v>
      </c>
      <c r="E29" s="73">
        <f>'DOE25'!H30</f>
        <v>14097</v>
      </c>
      <c r="F29" s="73">
        <f>'DOE25'!I30</f>
        <v>2093576</v>
      </c>
      <c r="G29" s="23" t="s">
        <v>288</v>
      </c>
      <c r="H29" s="13">
        <f t="shared" si="1"/>
        <v>2107673</v>
      </c>
      <c r="I29" s="90"/>
    </row>
    <row r="30" spans="1:9" ht="12" thickBot="1" x14ac:dyDescent="0.25">
      <c r="A30" s="1" t="s">
        <v>159</v>
      </c>
      <c r="B30" s="56">
        <v>490</v>
      </c>
      <c r="C30" s="73">
        <f>'DOE25'!F31</f>
        <v>5986</v>
      </c>
      <c r="D30" s="73">
        <f>'DOE25'!G31</f>
        <v>0</v>
      </c>
      <c r="E30" s="73">
        <f>'DOE25'!H31</f>
        <v>0</v>
      </c>
      <c r="F30" s="73">
        <f>'DOE25'!I31</f>
        <v>0</v>
      </c>
      <c r="G30" s="73">
        <f>'DOE25'!J31</f>
        <v>0</v>
      </c>
      <c r="H30" s="13">
        <f t="shared" si="1"/>
        <v>5986</v>
      </c>
      <c r="I30" s="90"/>
    </row>
    <row r="31" spans="1:9" ht="12" thickTop="1" x14ac:dyDescent="0.2">
      <c r="A31" s="35" t="s">
        <v>160</v>
      </c>
      <c r="B31" s="2"/>
      <c r="C31" s="38">
        <f>SUM(C21:C30)</f>
        <v>509157</v>
      </c>
      <c r="D31" s="38">
        <f>SUM(D21:D30)</f>
        <v>12575</v>
      </c>
      <c r="E31" s="38">
        <f>SUM(E21:E30)</f>
        <v>979749</v>
      </c>
      <c r="F31" s="38">
        <f>SUM(F21:F30)</f>
        <v>2093576</v>
      </c>
      <c r="G31" s="38">
        <f>SUM(G21:G30)</f>
        <v>0</v>
      </c>
      <c r="H31" s="38">
        <f t="shared" si="1"/>
        <v>3595057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5642</v>
      </c>
      <c r="D35" s="73">
        <f>'DOE25'!G36</f>
        <v>0</v>
      </c>
      <c r="E35" s="73">
        <f>'DOE25'!H36</f>
        <v>0</v>
      </c>
      <c r="F35" s="73">
        <f>'DOE25'!I36</f>
        <v>0</v>
      </c>
      <c r="G35" s="23" t="s">
        <v>288</v>
      </c>
      <c r="H35" s="13">
        <f t="shared" si="2"/>
        <v>5642</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402799</v>
      </c>
      <c r="E39" s="23" t="s">
        <v>288</v>
      </c>
      <c r="F39" s="23" t="s">
        <v>288</v>
      </c>
      <c r="G39" s="23" t="s">
        <v>288</v>
      </c>
      <c r="H39" s="13">
        <f t="shared" si="2"/>
        <v>402799</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1200000</v>
      </c>
      <c r="D43" s="73">
        <f>'DOE25'!G44</f>
        <v>0</v>
      </c>
      <c r="E43" s="73">
        <f>'DOE25'!H44</f>
        <v>0</v>
      </c>
      <c r="F43" s="73">
        <f>'DOE25'!I44</f>
        <v>0</v>
      </c>
      <c r="G43" s="23" t="s">
        <v>288</v>
      </c>
      <c r="H43" s="13">
        <f t="shared" si="2"/>
        <v>1200000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1916717</v>
      </c>
      <c r="H47" s="13">
        <f t="shared" si="2"/>
        <v>1916717</v>
      </c>
      <c r="I47" s="90"/>
    </row>
    <row r="48" spans="1:9" x14ac:dyDescent="0.2">
      <c r="A48" s="1" t="s">
        <v>878</v>
      </c>
      <c r="B48" s="6">
        <v>753</v>
      </c>
      <c r="C48" s="73">
        <f>'DOE25'!F49</f>
        <v>337868</v>
      </c>
      <c r="D48" s="73">
        <f>'DOE25'!G49</f>
        <v>0</v>
      </c>
      <c r="E48" s="73">
        <f>'DOE25'!H49</f>
        <v>0</v>
      </c>
      <c r="F48" s="73">
        <f>'DOE25'!I49</f>
        <v>0</v>
      </c>
      <c r="G48" s="73">
        <f>'DOE25'!J49</f>
        <v>0</v>
      </c>
      <c r="H48" s="13">
        <f t="shared" si="2"/>
        <v>337868</v>
      </c>
      <c r="I48" s="90"/>
    </row>
    <row r="49" spans="1:9" ht="12" thickBot="1" x14ac:dyDescent="0.25">
      <c r="A49" s="28" t="s">
        <v>879</v>
      </c>
      <c r="B49" s="56">
        <v>770</v>
      </c>
      <c r="C49" s="73">
        <f>'DOE25'!F50</f>
        <v>2167651</v>
      </c>
      <c r="D49" s="23" t="s">
        <v>288</v>
      </c>
      <c r="E49" s="23" t="s">
        <v>288</v>
      </c>
      <c r="F49" s="23" t="s">
        <v>288</v>
      </c>
      <c r="G49" s="23" t="s">
        <v>288</v>
      </c>
      <c r="H49" s="13">
        <f t="shared" si="2"/>
        <v>2167651</v>
      </c>
      <c r="I49" s="90"/>
    </row>
    <row r="50" spans="1:9" ht="12.75" thickTop="1" thickBot="1" x14ac:dyDescent="0.25">
      <c r="A50" s="35" t="s">
        <v>880</v>
      </c>
      <c r="B50" s="44"/>
      <c r="C50" s="38">
        <f>SUM(C34:C49)</f>
        <v>3711161</v>
      </c>
      <c r="D50" s="38">
        <f>SUM(D34:D49)</f>
        <v>402799</v>
      </c>
      <c r="E50" s="38">
        <f>SUM(E34:E49)</f>
        <v>0</v>
      </c>
      <c r="F50" s="38">
        <f>SUM(F34:F49)</f>
        <v>0</v>
      </c>
      <c r="G50" s="38">
        <f>SUM(G34:G49)</f>
        <v>1916717</v>
      </c>
      <c r="H50" s="38">
        <f t="shared" si="2"/>
        <v>6030677</v>
      </c>
      <c r="I50" s="90"/>
    </row>
    <row r="51" spans="1:9" ht="12" thickTop="1" x14ac:dyDescent="0.2">
      <c r="A51" s="35" t="s">
        <v>881</v>
      </c>
      <c r="B51" s="2"/>
      <c r="C51" s="38">
        <f>C50+C31</f>
        <v>4220318</v>
      </c>
      <c r="D51" s="38">
        <f>D50+D31</f>
        <v>415374</v>
      </c>
      <c r="E51" s="38">
        <f>E50+E31</f>
        <v>979749</v>
      </c>
      <c r="F51" s="38">
        <f>F50+F31</f>
        <v>2093576</v>
      </c>
      <c r="G51" s="38">
        <f>G50+G31</f>
        <v>1916717</v>
      </c>
      <c r="H51" s="38">
        <f t="shared" si="2"/>
        <v>9625734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13431641</v>
      </c>
      <c r="D56" s="73">
        <f>'DOE25'!G60</f>
        <v>0</v>
      </c>
      <c r="E56" s="73">
        <f>'DOE25'!H60</f>
        <v>0</v>
      </c>
      <c r="F56" s="73">
        <f>'DOE25'!I60</f>
        <v>0</v>
      </c>
      <c r="G56" s="73">
        <f>'DOE25'!J60</f>
        <v>0</v>
      </c>
      <c r="H56" s="13">
        <f t="shared" ref="H56:H63" si="3">SUM(C56:G56)</f>
        <v>13431641</v>
      </c>
      <c r="I56"/>
    </row>
    <row r="57" spans="1:9" x14ac:dyDescent="0.2">
      <c r="A57" s="1" t="s">
        <v>164</v>
      </c>
      <c r="B57" s="6" t="s">
        <v>165</v>
      </c>
      <c r="C57" s="73">
        <f>'DOE25'!F79</f>
        <v>58495</v>
      </c>
      <c r="D57" s="23" t="s">
        <v>288</v>
      </c>
      <c r="E57" s="73">
        <f>'DOE25'!H79</f>
        <v>0</v>
      </c>
      <c r="F57" s="23" t="s">
        <v>288</v>
      </c>
      <c r="G57" s="23" t="s">
        <v>288</v>
      </c>
      <c r="H57" s="13">
        <f t="shared" si="3"/>
        <v>58495</v>
      </c>
      <c r="I57"/>
    </row>
    <row r="58" spans="1:9" x14ac:dyDescent="0.2">
      <c r="A58" s="1" t="s">
        <v>166</v>
      </c>
      <c r="B58" s="6" t="s">
        <v>167</v>
      </c>
      <c r="C58" s="73">
        <f>'DOE25'!F94</f>
        <v>36493</v>
      </c>
      <c r="D58" s="23" t="s">
        <v>288</v>
      </c>
      <c r="E58" s="73">
        <f>'DOE25'!H94</f>
        <v>0</v>
      </c>
      <c r="F58" s="23" t="s">
        <v>288</v>
      </c>
      <c r="G58" s="23" t="s">
        <v>288</v>
      </c>
      <c r="H58" s="13">
        <f t="shared" si="3"/>
        <v>36493</v>
      </c>
      <c r="I58"/>
    </row>
    <row r="59" spans="1:9" x14ac:dyDescent="0.2">
      <c r="A59" s="1" t="s">
        <v>168</v>
      </c>
      <c r="B59" s="6" t="s">
        <v>169</v>
      </c>
      <c r="C59" s="73">
        <f>'DOE25'!F96</f>
        <v>283737</v>
      </c>
      <c r="D59" s="73">
        <f>'DOE25'!G96</f>
        <v>0</v>
      </c>
      <c r="E59" s="73">
        <f>'DOE25'!H96</f>
        <v>0</v>
      </c>
      <c r="F59" s="73">
        <f>'DOE25'!I96</f>
        <v>0</v>
      </c>
      <c r="G59" s="73">
        <f>'DOE25'!J96</f>
        <v>88592</v>
      </c>
      <c r="H59" s="13">
        <f t="shared" si="3"/>
        <v>372329</v>
      </c>
      <c r="I59"/>
    </row>
    <row r="60" spans="1:9" x14ac:dyDescent="0.2">
      <c r="A60" s="1" t="s">
        <v>170</v>
      </c>
      <c r="B60" s="22" t="s">
        <v>171</v>
      </c>
      <c r="C60" s="23" t="s">
        <v>288</v>
      </c>
      <c r="D60" s="73">
        <f>'DOE25'!G97</f>
        <v>333350</v>
      </c>
      <c r="E60" s="23" t="s">
        <v>288</v>
      </c>
      <c r="F60" s="23" t="s">
        <v>288</v>
      </c>
      <c r="G60" s="23" t="s">
        <v>288</v>
      </c>
      <c r="H60" s="13">
        <f t="shared" si="3"/>
        <v>333350</v>
      </c>
      <c r="I60"/>
    </row>
    <row r="61" spans="1:9" ht="12" thickBot="1" x14ac:dyDescent="0.25">
      <c r="A61" s="1" t="s">
        <v>172</v>
      </c>
      <c r="B61" s="22" t="s">
        <v>173</v>
      </c>
      <c r="C61" s="73">
        <f>SUM('DOE25'!F98:F110)</f>
        <v>226650</v>
      </c>
      <c r="D61" s="73">
        <f>SUM('DOE25'!G98:G110)</f>
        <v>46578</v>
      </c>
      <c r="E61" s="73">
        <f>SUM('DOE25'!H98:H110)</f>
        <v>4552</v>
      </c>
      <c r="F61" s="73">
        <f>SUM('DOE25'!I98:I110)</f>
        <v>449324</v>
      </c>
      <c r="G61" s="73">
        <f>SUM('DOE25'!J98:J110)</f>
        <v>0</v>
      </c>
      <c r="H61" s="13">
        <f t="shared" si="3"/>
        <v>727104</v>
      </c>
      <c r="I61"/>
    </row>
    <row r="62" spans="1:9" ht="12.75" thickTop="1" thickBot="1" x14ac:dyDescent="0.25">
      <c r="A62" s="28" t="s">
        <v>174</v>
      </c>
      <c r="B62" s="6"/>
      <c r="C62" s="93">
        <f>SUM(C57:C61)</f>
        <v>605375</v>
      </c>
      <c r="D62" s="93">
        <f>SUM(D57:D61)</f>
        <v>379928</v>
      </c>
      <c r="E62" s="93">
        <f>SUM(E57:E61)</f>
        <v>4552</v>
      </c>
      <c r="F62" s="93">
        <f>SUM(F57:F61)</f>
        <v>449324</v>
      </c>
      <c r="G62" s="93">
        <f>SUM(G57:G61)</f>
        <v>88592</v>
      </c>
      <c r="H62" s="13">
        <f t="shared" si="3"/>
        <v>1527771</v>
      </c>
      <c r="I62"/>
    </row>
    <row r="63" spans="1:9" ht="12" thickTop="1" x14ac:dyDescent="0.2">
      <c r="A63" s="28" t="s">
        <v>175</v>
      </c>
      <c r="B63" s="6"/>
      <c r="C63" s="21">
        <f>C56+C62</f>
        <v>14037016</v>
      </c>
      <c r="D63" s="21">
        <f>D56+D62</f>
        <v>379928</v>
      </c>
      <c r="E63" s="21">
        <f>E56+E62</f>
        <v>4552</v>
      </c>
      <c r="F63" s="21">
        <f>F56+F62</f>
        <v>449324</v>
      </c>
      <c r="G63" s="21">
        <f>G56+G62</f>
        <v>88592</v>
      </c>
      <c r="H63" s="13">
        <f t="shared" si="3"/>
        <v>14959412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6797878</v>
      </c>
      <c r="D66" s="23" t="s">
        <v>288</v>
      </c>
      <c r="E66" s="23" t="s">
        <v>288</v>
      </c>
      <c r="F66" s="23" t="s">
        <v>288</v>
      </c>
      <c r="G66" s="23" t="s">
        <v>288</v>
      </c>
      <c r="H66" s="13">
        <f t="shared" ref="H66:H81" si="4">SUM(C66:G66)</f>
        <v>6797878</v>
      </c>
      <c r="I66"/>
    </row>
    <row r="67" spans="1:9" x14ac:dyDescent="0.2">
      <c r="A67" s="1" t="s">
        <v>767</v>
      </c>
      <c r="B67" s="6">
        <v>3112</v>
      </c>
      <c r="C67" s="73">
        <f>'DOE25'!F118</f>
        <v>3051393</v>
      </c>
      <c r="D67" s="23"/>
      <c r="E67" s="23"/>
      <c r="F67" s="23"/>
      <c r="G67" s="23"/>
      <c r="H67" s="13">
        <f t="shared" si="4"/>
        <v>3051393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55954</v>
      </c>
      <c r="D69" s="73">
        <f>'DOE25'!G120</f>
        <v>0</v>
      </c>
      <c r="E69" s="73">
        <f>'DOE25'!H120</f>
        <v>0</v>
      </c>
      <c r="F69" s="73">
        <f>'DOE25'!I120</f>
        <v>0</v>
      </c>
      <c r="G69" s="73">
        <f>'DOE25'!J120</f>
        <v>0</v>
      </c>
      <c r="H69" s="13">
        <f t="shared" si="4"/>
        <v>55954</v>
      </c>
      <c r="I69"/>
    </row>
    <row r="70" spans="1:9" ht="12" thickTop="1" x14ac:dyDescent="0.2">
      <c r="A70" s="28" t="s">
        <v>252</v>
      </c>
      <c r="B70" s="2"/>
      <c r="C70" s="97">
        <f>SUM(C66:C69)</f>
        <v>9905225</v>
      </c>
      <c r="D70" s="97">
        <f>D69</f>
        <v>0</v>
      </c>
      <c r="E70" s="97">
        <f>E69</f>
        <v>0</v>
      </c>
      <c r="F70" s="97">
        <f>F69</f>
        <v>0</v>
      </c>
      <c r="G70" s="97">
        <f>G69</f>
        <v>0</v>
      </c>
      <c r="H70" s="13">
        <f t="shared" si="4"/>
        <v>9905225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135782</v>
      </c>
      <c r="D72" s="23" t="s">
        <v>288</v>
      </c>
      <c r="E72" s="23" t="s">
        <v>288</v>
      </c>
      <c r="F72" s="73">
        <f>'DOE25'!I123</f>
        <v>0</v>
      </c>
      <c r="G72" s="23" t="s">
        <v>288</v>
      </c>
      <c r="H72" s="13">
        <f t="shared" si="4"/>
        <v>135782</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145550</v>
      </c>
      <c r="D74" s="23"/>
      <c r="E74" s="23"/>
      <c r="F74" s="23"/>
      <c r="G74" s="23"/>
      <c r="H74" s="13">
        <f t="shared" si="4"/>
        <v>145550</v>
      </c>
      <c r="I74"/>
    </row>
    <row r="75" spans="1:9" x14ac:dyDescent="0.2">
      <c r="A75" s="1" t="s">
        <v>256</v>
      </c>
      <c r="B75" s="6">
        <v>3230</v>
      </c>
      <c r="C75" s="73">
        <f>'DOE25'!F126</f>
        <v>36702</v>
      </c>
      <c r="D75" s="23" t="s">
        <v>288</v>
      </c>
      <c r="E75" s="23" t="s">
        <v>288</v>
      </c>
      <c r="F75" s="23" t="s">
        <v>288</v>
      </c>
      <c r="G75" s="23" t="s">
        <v>288</v>
      </c>
      <c r="H75" s="13">
        <f t="shared" si="4"/>
        <v>36702</v>
      </c>
      <c r="I75"/>
    </row>
    <row r="76" spans="1:9" x14ac:dyDescent="0.2">
      <c r="A76" s="1" t="s">
        <v>257</v>
      </c>
      <c r="B76" s="6" t="s">
        <v>179</v>
      </c>
      <c r="C76" s="73">
        <f>SUM('DOE25'!F127:F130)</f>
        <v>49019</v>
      </c>
      <c r="D76" s="23" t="s">
        <v>288</v>
      </c>
      <c r="E76" s="73">
        <f>SUM('DOE25'!H127:H130)</f>
        <v>0</v>
      </c>
      <c r="F76" s="73">
        <f>SUM('DOE25'!I127:I130)</f>
        <v>0</v>
      </c>
      <c r="G76" s="23" t="s">
        <v>288</v>
      </c>
      <c r="H76" s="13">
        <f t="shared" si="4"/>
        <v>49019</v>
      </c>
      <c r="I76"/>
    </row>
    <row r="77" spans="1:9" ht="12" thickBot="1" x14ac:dyDescent="0.25">
      <c r="A77" s="1" t="s">
        <v>258</v>
      </c>
      <c r="B77" s="6" t="s">
        <v>180</v>
      </c>
      <c r="C77" s="73">
        <f>SUM('DOE25'!F131:F135)</f>
        <v>0</v>
      </c>
      <c r="D77" s="73">
        <f>SUM('DOE25'!G131:G135)</f>
        <v>9004</v>
      </c>
      <c r="E77" s="73">
        <f>SUM('DOE25'!H131:H135)</f>
        <v>0</v>
      </c>
      <c r="F77" s="73">
        <f>SUM('DOE25'!I131:I135)</f>
        <v>0</v>
      </c>
      <c r="G77" s="73">
        <f>SUM('DOE25'!J131:J135)</f>
        <v>0</v>
      </c>
      <c r="H77" s="13">
        <f t="shared" si="4"/>
        <v>9004</v>
      </c>
      <c r="I77"/>
    </row>
    <row r="78" spans="1:9" ht="12.75" thickTop="1" thickBot="1" x14ac:dyDescent="0.25">
      <c r="A78" s="28" t="s">
        <v>259</v>
      </c>
      <c r="B78" s="6"/>
      <c r="C78" s="93">
        <f>SUM(C72:C77)</f>
        <v>367053</v>
      </c>
      <c r="D78" s="93">
        <f>SUM(D72:D77)</f>
        <v>9004</v>
      </c>
      <c r="E78" s="93">
        <f>SUM(E72:E77)</f>
        <v>0</v>
      </c>
      <c r="F78" s="93">
        <f>SUM(F72:F77)</f>
        <v>0</v>
      </c>
      <c r="G78" s="93">
        <f>SUM(G72:G77)</f>
        <v>0</v>
      </c>
      <c r="H78" s="13">
        <f t="shared" si="4"/>
        <v>376057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10272278</v>
      </c>
      <c r="D81" s="93">
        <f>SUM(D79:D80)+D78+D70</f>
        <v>9004</v>
      </c>
      <c r="E81" s="93">
        <f>SUM(E79:E80)+E78+E70</f>
        <v>0</v>
      </c>
      <c r="F81" s="93">
        <f>SUM(F79:F80)+F78+F70</f>
        <v>0</v>
      </c>
      <c r="G81" s="93">
        <f>SUM(G79:G80)+G78+G70</f>
        <v>0</v>
      </c>
      <c r="H81" s="93">
        <f t="shared" si="4"/>
        <v>10281282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192967</v>
      </c>
      <c r="D88" s="252">
        <f>SUM('DOE25'!G153:G162)</f>
        <v>355733</v>
      </c>
      <c r="E88" s="252">
        <f>SUM('DOE25'!H153:H162)</f>
        <v>2645116</v>
      </c>
      <c r="F88" s="252">
        <f>SUM('DOE25'!I153:I162)</f>
        <v>0</v>
      </c>
      <c r="G88" s="23" t="s">
        <v>288</v>
      </c>
      <c r="H88" s="13">
        <f t="shared" si="5"/>
        <v>3193816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192967</v>
      </c>
      <c r="D91" s="94">
        <f>SUM(D85:D90)</f>
        <v>355733</v>
      </c>
      <c r="E91" s="94">
        <f>SUM(E85:E90)</f>
        <v>2645116</v>
      </c>
      <c r="F91" s="94">
        <f>SUM(F85:F90)</f>
        <v>0</v>
      </c>
      <c r="G91" s="23" t="s">
        <v>288</v>
      </c>
      <c r="H91" s="13">
        <f t="shared" si="5"/>
        <v>3193816</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258620</v>
      </c>
      <c r="G96" s="73">
        <f>'DOE25'!J180</f>
        <v>0</v>
      </c>
      <c r="H96" s="13">
        <f t="shared" si="5"/>
        <v>258620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352873</v>
      </c>
      <c r="D99" s="73">
        <f>'DOE25'!G186</f>
        <v>0</v>
      </c>
      <c r="E99" s="73">
        <f>'DOE25'!H186</f>
        <v>0</v>
      </c>
      <c r="F99" s="73">
        <f>'DOE25'!I186</f>
        <v>0</v>
      </c>
      <c r="G99" s="23" t="s">
        <v>288</v>
      </c>
      <c r="H99" s="13">
        <f t="shared" si="5"/>
        <v>352873</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352873</v>
      </c>
      <c r="D103" s="68">
        <f>SUM(D93:D102)</f>
        <v>0</v>
      </c>
      <c r="E103" s="68">
        <f>SUM(E93:E102)</f>
        <v>0</v>
      </c>
      <c r="F103" s="68">
        <f>SUM(F93:F102)</f>
        <v>258620</v>
      </c>
      <c r="G103" s="68">
        <f>SUM(G93:G102)</f>
        <v>0</v>
      </c>
      <c r="H103" s="68">
        <f t="shared" si="5"/>
        <v>611493</v>
      </c>
    </row>
    <row r="104" spans="1:8" ht="12.75" thickTop="1" thickBot="1" x14ac:dyDescent="0.25">
      <c r="A104" s="32" t="s">
        <v>758</v>
      </c>
      <c r="C104" s="68">
        <f>C63+C81+C91+C103</f>
        <v>24855134</v>
      </c>
      <c r="D104" s="68">
        <f>D63+D81+D91+D103</f>
        <v>744665</v>
      </c>
      <c r="E104" s="68">
        <f>E63+E81+E91+E103</f>
        <v>2649668</v>
      </c>
      <c r="F104" s="68">
        <f>F63+F81+F91+F103</f>
        <v>707944</v>
      </c>
      <c r="G104" s="68">
        <f>G63+G81+G103</f>
        <v>88592</v>
      </c>
      <c r="H104" s="68">
        <f t="shared" si="5"/>
        <v>29046003</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7852276</v>
      </c>
      <c r="D109" s="23" t="s">
        <v>288</v>
      </c>
      <c r="E109" s="73">
        <f>('DOE25'!L277)+('DOE25'!L296)+('DOE25'!L315)</f>
        <v>760650</v>
      </c>
      <c r="F109" s="23" t="s">
        <v>288</v>
      </c>
      <c r="G109" s="23" t="s">
        <v>288</v>
      </c>
      <c r="H109" s="13">
        <f t="shared" ref="H109:H115" si="6">SUM(C109:G109)</f>
        <v>8612926</v>
      </c>
    </row>
    <row r="110" spans="1:8" x14ac:dyDescent="0.2">
      <c r="A110" t="s">
        <v>198</v>
      </c>
      <c r="B110" s="31" t="s">
        <v>199</v>
      </c>
      <c r="C110" s="73">
        <f>('DOE25'!L199)+('DOE25'!L217)+('DOE25'!L235)</f>
        <v>4616350</v>
      </c>
      <c r="D110" s="23" t="s">
        <v>288</v>
      </c>
      <c r="E110" s="73">
        <f>('DOE25'!L278)+('DOE25'!L297)+('DOE25'!L316)</f>
        <v>456485</v>
      </c>
      <c r="F110" s="23" t="s">
        <v>288</v>
      </c>
      <c r="G110" s="23" t="s">
        <v>288</v>
      </c>
      <c r="H110" s="13">
        <f t="shared" si="6"/>
        <v>5072835</v>
      </c>
    </row>
    <row r="111" spans="1:8" x14ac:dyDescent="0.2">
      <c r="A111" t="s">
        <v>200</v>
      </c>
      <c r="B111" s="31" t="s">
        <v>165</v>
      </c>
      <c r="C111" s="73">
        <f>('DOE25'!L200)+('DOE25'!L218)+('DOE25'!L236)</f>
        <v>389878</v>
      </c>
      <c r="D111" s="23" t="s">
        <v>288</v>
      </c>
      <c r="E111" s="73">
        <f>('DOE25'!L279)+('DOE25'!L298)+('DOE25'!L317)</f>
        <v>3881</v>
      </c>
      <c r="F111" s="23" t="s">
        <v>288</v>
      </c>
      <c r="G111" s="23" t="s">
        <v>288</v>
      </c>
      <c r="H111" s="13">
        <f t="shared" si="6"/>
        <v>393759</v>
      </c>
    </row>
    <row r="112" spans="1:8" x14ac:dyDescent="0.2">
      <c r="A112" t="s">
        <v>201</v>
      </c>
      <c r="B112" s="31" t="s">
        <v>167</v>
      </c>
      <c r="C112" s="73">
        <f>('DOE25'!L201)+('DOE25'!L219)+('DOE25'!L237)</f>
        <v>503475</v>
      </c>
      <c r="D112" s="23" t="s">
        <v>288</v>
      </c>
      <c r="E112" s="73">
        <f>+('DOE25'!L280)+('DOE25'!L299)+('DOE25'!L318)</f>
        <v>48622</v>
      </c>
      <c r="F112" s="23" t="s">
        <v>288</v>
      </c>
      <c r="G112" s="23" t="s">
        <v>288</v>
      </c>
      <c r="H112" s="13">
        <f t="shared" si="6"/>
        <v>552097</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13361979</v>
      </c>
      <c r="D115" s="68">
        <f>SUM(D109:D114)</f>
        <v>0</v>
      </c>
      <c r="E115" s="68">
        <f>SUM(E109:E114)</f>
        <v>1269638</v>
      </c>
      <c r="F115" s="68">
        <f>SUM(F109:F114)</f>
        <v>0</v>
      </c>
      <c r="G115" s="68">
        <f>SUM(G109:G114)</f>
        <v>0</v>
      </c>
      <c r="H115" s="68">
        <f t="shared" si="6"/>
        <v>14631617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1499038</v>
      </c>
      <c r="D118" s="23" t="s">
        <v>288</v>
      </c>
      <c r="E118" s="73">
        <f>+('DOE25'!L282)+('DOE25'!L301)+('DOE25'!L320)</f>
        <v>528051</v>
      </c>
      <c r="F118" s="23" t="s">
        <v>288</v>
      </c>
      <c r="G118" s="23" t="s">
        <v>288</v>
      </c>
      <c r="H118" s="13">
        <f t="shared" ref="H118:H145" si="7">SUM(C118:G118)</f>
        <v>2027089</v>
      </c>
    </row>
    <row r="119" spans="1:8" x14ac:dyDescent="0.2">
      <c r="A119" t="s">
        <v>208</v>
      </c>
      <c r="B119" s="31" t="s">
        <v>209</v>
      </c>
      <c r="C119" s="73">
        <f>('DOE25'!L204)+('DOE25'!L222)+('DOE25'!L240)</f>
        <v>935413</v>
      </c>
      <c r="D119" s="23" t="s">
        <v>288</v>
      </c>
      <c r="E119" s="73">
        <f>+('DOE25'!L283)+('DOE25'!L302)+('DOE25'!L321)</f>
        <v>121551</v>
      </c>
      <c r="F119" s="23" t="s">
        <v>288</v>
      </c>
      <c r="G119" s="23" t="s">
        <v>288</v>
      </c>
      <c r="H119" s="13">
        <f t="shared" si="7"/>
        <v>1056964</v>
      </c>
    </row>
    <row r="120" spans="1:8" x14ac:dyDescent="0.2">
      <c r="A120" t="s">
        <v>210</v>
      </c>
      <c r="B120" s="31" t="s">
        <v>211</v>
      </c>
      <c r="C120" s="73">
        <f>('DOE25'!L205)+('DOE25'!L223)+('DOE25'!L241)</f>
        <v>2368444</v>
      </c>
      <c r="D120" s="23" t="s">
        <v>288</v>
      </c>
      <c r="E120" s="73">
        <f>+('DOE25'!L284)+('DOE25'!L303)+('DOE25'!L322)</f>
        <v>0</v>
      </c>
      <c r="F120" s="23" t="s">
        <v>288</v>
      </c>
      <c r="G120" s="23" t="s">
        <v>288</v>
      </c>
      <c r="H120" s="13">
        <f t="shared" si="7"/>
        <v>2368444</v>
      </c>
    </row>
    <row r="121" spans="1:8" x14ac:dyDescent="0.2">
      <c r="A121" t="s">
        <v>212</v>
      </c>
      <c r="B121" s="31" t="s">
        <v>213</v>
      </c>
      <c r="C121" s="73">
        <f>('DOE25'!L206)+('DOE25'!L224)+('DOE25'!L242)</f>
        <v>1621031</v>
      </c>
      <c r="D121" s="23" t="s">
        <v>288</v>
      </c>
      <c r="E121" s="73">
        <f>+('DOE25'!L285)+('DOE25'!L304)+('DOE25'!L323)</f>
        <v>0</v>
      </c>
      <c r="F121" s="23" t="s">
        <v>288</v>
      </c>
      <c r="G121" s="23" t="s">
        <v>288</v>
      </c>
      <c r="H121" s="13">
        <f t="shared" si="7"/>
        <v>1621031</v>
      </c>
    </row>
    <row r="122" spans="1:8" x14ac:dyDescent="0.2">
      <c r="A122" t="s">
        <v>214</v>
      </c>
      <c r="B122" s="31" t="s">
        <v>215</v>
      </c>
      <c r="C122" s="73">
        <f>('DOE25'!L207)+('DOE25'!L225)+('DOE25'!L243)</f>
        <v>394217</v>
      </c>
      <c r="D122" s="23" t="s">
        <v>288</v>
      </c>
      <c r="E122" s="73">
        <f>+('DOE25'!L286)+('DOE25'!L305)+('DOE25'!L324)</f>
        <v>0</v>
      </c>
      <c r="F122" s="23" t="s">
        <v>288</v>
      </c>
      <c r="G122" s="23" t="s">
        <v>288</v>
      </c>
      <c r="H122" s="13">
        <f t="shared" si="7"/>
        <v>394217</v>
      </c>
    </row>
    <row r="123" spans="1:8" x14ac:dyDescent="0.2">
      <c r="A123" t="s">
        <v>216</v>
      </c>
      <c r="B123" s="31" t="s">
        <v>217</v>
      </c>
      <c r="C123" s="73">
        <f>('DOE25'!L208)+('DOE25'!L226)+('DOE25'!L244)</f>
        <v>2108783</v>
      </c>
      <c r="D123" s="23" t="s">
        <v>288</v>
      </c>
      <c r="E123" s="73">
        <f>+('DOE25'!L287)+('DOE25'!L306)+('DOE25'!L325)</f>
        <v>635517</v>
      </c>
      <c r="F123" s="23" t="s">
        <v>288</v>
      </c>
      <c r="G123" s="23" t="s">
        <v>288</v>
      </c>
      <c r="H123" s="13">
        <f t="shared" si="7"/>
        <v>2744300</v>
      </c>
    </row>
    <row r="124" spans="1:8" x14ac:dyDescent="0.2">
      <c r="A124" t="s">
        <v>218</v>
      </c>
      <c r="B124" s="31" t="s">
        <v>219</v>
      </c>
      <c r="C124" s="73">
        <f>('DOE25'!L209)+('DOE25'!L227)+('DOE25'!L245+'DOE25'!L255)</f>
        <v>1239138</v>
      </c>
      <c r="D124" s="23" t="s">
        <v>288</v>
      </c>
      <c r="E124" s="73">
        <f>+('DOE25'!L288)+('DOE25'!L307)+('DOE25'!L326)</f>
        <v>59124</v>
      </c>
      <c r="F124" s="23" t="s">
        <v>288</v>
      </c>
      <c r="G124" s="23" t="s">
        <v>288</v>
      </c>
      <c r="H124" s="13">
        <f t="shared" si="7"/>
        <v>1298262</v>
      </c>
    </row>
    <row r="125" spans="1:8" x14ac:dyDescent="0.2">
      <c r="A125" t="s">
        <v>220</v>
      </c>
      <c r="B125" s="31" t="s">
        <v>221</v>
      </c>
      <c r="C125" s="73">
        <f>('DOE25'!L210)+('DOE25'!L228)+('DOE25'!L246)</f>
        <v>0</v>
      </c>
      <c r="D125" s="23" t="s">
        <v>288</v>
      </c>
      <c r="E125" s="73">
        <f>+('DOE25'!L289)+('DOE25'!L308)+('DOE25'!L327)</f>
        <v>8470</v>
      </c>
      <c r="F125" s="23" t="s">
        <v>288</v>
      </c>
      <c r="G125" s="23" t="s">
        <v>288</v>
      </c>
      <c r="H125" s="13">
        <f t="shared" si="7"/>
        <v>8470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705970</v>
      </c>
      <c r="E127" s="23" t="s">
        <v>288</v>
      </c>
      <c r="F127" s="23" t="s">
        <v>288</v>
      </c>
      <c r="G127" s="23" t="s">
        <v>288</v>
      </c>
      <c r="H127" s="13">
        <f t="shared" si="7"/>
        <v>705970</v>
      </c>
    </row>
    <row r="128" spans="1:8" ht="12.75" thickTop="1" thickBot="1" x14ac:dyDescent="0.25">
      <c r="A128" s="32" t="s">
        <v>226</v>
      </c>
      <c r="C128" s="68">
        <f>SUM(C118:C127)</f>
        <v>10166064</v>
      </c>
      <c r="D128" s="68">
        <f>SUM(D118:D127)</f>
        <v>705970</v>
      </c>
      <c r="E128" s="68">
        <f>SUM(E118:E127)</f>
        <v>1352713</v>
      </c>
      <c r="F128" s="68">
        <f>SUM(F118:F127)</f>
        <v>0</v>
      </c>
      <c r="G128" s="68">
        <f>SUM(G118:G127)</f>
        <v>0</v>
      </c>
      <c r="H128" s="68">
        <f t="shared" si="7"/>
        <v>12224747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826020</v>
      </c>
      <c r="D130" s="23" t="s">
        <v>288</v>
      </c>
      <c r="E130" s="92">
        <f>'DOE25'!L337</f>
        <v>0</v>
      </c>
      <c r="F130" s="92">
        <f>SUM('DOE25'!L375:'DOE25'!L381)</f>
        <v>707944</v>
      </c>
      <c r="G130" s="23" t="s">
        <v>288</v>
      </c>
      <c r="H130" s="13">
        <f t="shared" si="7"/>
        <v>1533964</v>
      </c>
    </row>
    <row r="131" spans="1:8" x14ac:dyDescent="0.2">
      <c r="A131" t="s">
        <v>229</v>
      </c>
      <c r="B131" s="31">
        <v>5110</v>
      </c>
      <c r="C131" s="73">
        <f>'DOE25'!L261</f>
        <v>232088</v>
      </c>
      <c r="D131" s="23" t="s">
        <v>288</v>
      </c>
      <c r="E131" s="92">
        <f>'DOE25'!L342</f>
        <v>0</v>
      </c>
      <c r="F131" s="23" t="s">
        <v>288</v>
      </c>
      <c r="G131" s="23" t="s">
        <v>288</v>
      </c>
      <c r="H131" s="13">
        <f t="shared" si="7"/>
        <v>232088</v>
      </c>
    </row>
    <row r="132" spans="1:8" x14ac:dyDescent="0.2">
      <c r="A132" t="s">
        <v>230</v>
      </c>
      <c r="B132" s="31">
        <v>5120</v>
      </c>
      <c r="C132" s="73">
        <f>'DOE25'!L262</f>
        <v>6513</v>
      </c>
      <c r="D132" s="23" t="s">
        <v>288</v>
      </c>
      <c r="E132" s="92">
        <f>'DOE25'!L343</f>
        <v>0</v>
      </c>
      <c r="F132" s="23" t="s">
        <v>288</v>
      </c>
      <c r="G132" s="23" t="s">
        <v>288</v>
      </c>
      <c r="H132" s="13">
        <f t="shared" si="7"/>
        <v>6513</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27317</v>
      </c>
      <c r="F134" s="73">
        <f>'DOE25'!K382</f>
        <v>0</v>
      </c>
      <c r="G134" s="73">
        <f>'DOE25'!K435</f>
        <v>352873</v>
      </c>
      <c r="H134" s="13">
        <f t="shared" si="7"/>
        <v>380190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258620</v>
      </c>
      <c r="D137" s="23" t="s">
        <v>288</v>
      </c>
      <c r="E137" s="92">
        <f>'DOE25'!L347</f>
        <v>0</v>
      </c>
      <c r="F137" s="23" t="s">
        <v>288</v>
      </c>
      <c r="G137" s="23" t="s">
        <v>288</v>
      </c>
      <c r="H137" s="13">
        <f t="shared" si="7"/>
        <v>258620</v>
      </c>
    </row>
    <row r="138" spans="1:8" x14ac:dyDescent="0.2">
      <c r="A138" t="s">
        <v>238</v>
      </c>
      <c r="B138" s="31">
        <v>5251</v>
      </c>
      <c r="C138" s="73">
        <f>'DOE25'!L394</f>
        <v>58424</v>
      </c>
      <c r="D138" s="23" t="s">
        <v>288</v>
      </c>
      <c r="E138" s="23" t="s">
        <v>288</v>
      </c>
      <c r="F138" s="23" t="s">
        <v>288</v>
      </c>
      <c r="G138" s="23" t="s">
        <v>288</v>
      </c>
      <c r="H138" s="13">
        <f t="shared" si="7"/>
        <v>58424</v>
      </c>
    </row>
    <row r="139" spans="1:8" x14ac:dyDescent="0.2">
      <c r="A139" t="s">
        <v>239</v>
      </c>
      <c r="B139" s="31">
        <v>5252</v>
      </c>
      <c r="C139" s="73">
        <f>'DOE25'!L402</f>
        <v>30168</v>
      </c>
      <c r="D139" s="23" t="s">
        <v>288</v>
      </c>
      <c r="E139" s="23" t="s">
        <v>288</v>
      </c>
      <c r="F139" s="23" t="s">
        <v>288</v>
      </c>
      <c r="G139" s="23" t="s">
        <v>288</v>
      </c>
      <c r="H139" s="13">
        <f t="shared" si="7"/>
        <v>30168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-88592</v>
      </c>
      <c r="D141" s="23" t="s">
        <v>288</v>
      </c>
      <c r="E141" s="23" t="s">
        <v>288</v>
      </c>
      <c r="F141" s="23" t="s">
        <v>288</v>
      </c>
      <c r="G141" s="23" t="s">
        <v>288</v>
      </c>
      <c r="H141" s="13">
        <f t="shared" si="7"/>
        <v>-88592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1323241</v>
      </c>
      <c r="D144" s="98">
        <f>SUM(D130:D143)</f>
        <v>0</v>
      </c>
      <c r="E144" s="98">
        <f>SUM(E130:E143)</f>
        <v>27317</v>
      </c>
      <c r="F144" s="98">
        <f>SUM(F130:F143)</f>
        <v>707944</v>
      </c>
      <c r="G144" s="98">
        <f>SUM(G130:G143)</f>
        <v>352873</v>
      </c>
      <c r="H144" s="98">
        <f t="shared" si="7"/>
        <v>2411375</v>
      </c>
    </row>
    <row r="145" spans="1:9" ht="12.75" thickTop="1" thickBot="1" x14ac:dyDescent="0.25">
      <c r="A145" s="32" t="s">
        <v>244</v>
      </c>
      <c r="C145" s="68">
        <f>(C115+C128+C144)</f>
        <v>24851284</v>
      </c>
      <c r="D145" s="68">
        <f>(D115+D128+D144)</f>
        <v>705970</v>
      </c>
      <c r="E145" s="68">
        <f>(E115+E128+E144)</f>
        <v>2649668</v>
      </c>
      <c r="F145" s="68">
        <f>(F115+F128+F144)</f>
        <v>707944</v>
      </c>
      <c r="G145" s="68">
        <f>(G115+G128+G144)</f>
        <v>352873</v>
      </c>
      <c r="H145" s="68">
        <f t="shared" si="7"/>
        <v>29267739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11/09</v>
      </c>
      <c r="C152" s="109">
        <f>'DOE25'!G492</f>
        <v>0</v>
      </c>
      <c r="D152" s="109">
        <f>'DOE25'!H492</f>
        <v>0</v>
      </c>
      <c r="E152" s="109">
        <f>'DOE25'!I492</f>
        <v>0</v>
      </c>
      <c r="F152" s="109">
        <f>'DOE25'!J492</f>
        <v>0</v>
      </c>
      <c r="G152" s="23" t="s">
        <v>288</v>
      </c>
    </row>
    <row r="153" spans="1:9" x14ac:dyDescent="0.2">
      <c r="A153" s="21" t="s">
        <v>29</v>
      </c>
      <c r="B153" s="109" t="str">
        <f>'DOE25'!F493</f>
        <v>12/24</v>
      </c>
      <c r="C153" s="109">
        <f>'DOE25'!G493</f>
        <v>0</v>
      </c>
      <c r="D153" s="109">
        <f>'DOE25'!H493</f>
        <v>0</v>
      </c>
      <c r="E153" s="109">
        <f>'DOE25'!I493</f>
        <v>0</v>
      </c>
      <c r="F153" s="109">
        <f>'DOE25'!J493</f>
        <v>0</v>
      </c>
      <c r="G153" s="23" t="s">
        <v>288</v>
      </c>
    </row>
    <row r="154" spans="1:9" x14ac:dyDescent="0.2">
      <c r="A154" s="21" t="s">
        <v>30</v>
      </c>
      <c r="B154" s="19">
        <f>'DOE25'!F494</f>
        <v>3396240</v>
      </c>
      <c r="C154" s="19">
        <f>'DOE25'!G494</f>
        <v>0</v>
      </c>
      <c r="D154" s="19">
        <f>'DOE25'!H494</f>
        <v>0</v>
      </c>
      <c r="E154" s="19">
        <f>'DOE25'!I494</f>
        <v>0</v>
      </c>
      <c r="F154" s="19">
        <f>'DOE25'!J494</f>
        <v>0</v>
      </c>
      <c r="G154" s="23" t="s">
        <v>288</v>
      </c>
    </row>
    <row r="155" spans="1:9" x14ac:dyDescent="0.2">
      <c r="A155" s="21" t="s">
        <v>31</v>
      </c>
      <c r="B155" s="19">
        <f>'DOE25'!F495</f>
        <v>1.4</v>
      </c>
      <c r="C155" s="19">
        <f>'DOE25'!G495</f>
        <v>0</v>
      </c>
      <c r="D155" s="19">
        <f>'DOE25'!H495</f>
        <v>0</v>
      </c>
      <c r="E155" s="19">
        <f>'DOE25'!I495</f>
        <v>0</v>
      </c>
      <c r="F155" s="19">
        <f>'DOE25'!J495</f>
        <v>0</v>
      </c>
      <c r="G155" s="23" t="s">
        <v>288</v>
      </c>
    </row>
    <row r="156" spans="1:9" x14ac:dyDescent="0.2">
      <c r="A156" s="21" t="s">
        <v>32</v>
      </c>
      <c r="B156" s="19">
        <f>'DOE25'!F496</f>
        <v>465681</v>
      </c>
      <c r="C156" s="19">
        <f>'DOE25'!G496</f>
        <v>0</v>
      </c>
      <c r="D156" s="19">
        <f>'DOE25'!H496</f>
        <v>0</v>
      </c>
      <c r="E156" s="19">
        <f>'DOE25'!I496</f>
        <v>0</v>
      </c>
      <c r="F156" s="19">
        <f>'DOE25'!J496</f>
        <v>0</v>
      </c>
      <c r="G156" s="96">
        <f>SUM(B156:F156)</f>
        <v>465681</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232088</v>
      </c>
      <c r="C158" s="19">
        <f>'DOE25'!G498</f>
        <v>0</v>
      </c>
      <c r="D158" s="19">
        <f>'DOE25'!H498</f>
        <v>0</v>
      </c>
      <c r="E158" s="19">
        <f>'DOE25'!I498</f>
        <v>0</v>
      </c>
      <c r="F158" s="19">
        <f>'DOE25'!J498</f>
        <v>0</v>
      </c>
      <c r="G158" s="96">
        <f t="shared" si="8"/>
        <v>232088</v>
      </c>
    </row>
    <row r="159" spans="1:9" x14ac:dyDescent="0.2">
      <c r="A159" s="21" t="s">
        <v>35</v>
      </c>
      <c r="B159" s="19">
        <f>'DOE25'!F499</f>
        <v>233593</v>
      </c>
      <c r="C159" s="19">
        <f>'DOE25'!G499</f>
        <v>0</v>
      </c>
      <c r="D159" s="19">
        <f>'DOE25'!H499</f>
        <v>0</v>
      </c>
      <c r="E159" s="19">
        <f>'DOE25'!I499</f>
        <v>0</v>
      </c>
      <c r="F159" s="19">
        <f>'DOE25'!J499</f>
        <v>0</v>
      </c>
      <c r="G159" s="96">
        <f t="shared" si="8"/>
        <v>233593</v>
      </c>
    </row>
    <row r="160" spans="1:9" x14ac:dyDescent="0.2">
      <c r="A160" s="21" t="s">
        <v>36</v>
      </c>
      <c r="B160" s="19">
        <f>'DOE25'!F500</f>
        <v>3264</v>
      </c>
      <c r="C160" s="19">
        <f>'DOE25'!G500</f>
        <v>0</v>
      </c>
      <c r="D160" s="19">
        <f>'DOE25'!H500</f>
        <v>0</v>
      </c>
      <c r="E160" s="19">
        <f>'DOE25'!I500</f>
        <v>0</v>
      </c>
      <c r="F160" s="19">
        <f>'DOE25'!J500</f>
        <v>0</v>
      </c>
      <c r="G160" s="96">
        <f t="shared" si="8"/>
        <v>3264</v>
      </c>
    </row>
    <row r="161" spans="1:7" x14ac:dyDescent="0.2">
      <c r="A161" s="21" t="s">
        <v>37</v>
      </c>
      <c r="B161" s="19">
        <f>'DOE25'!F501</f>
        <v>236857</v>
      </c>
      <c r="C161" s="19">
        <f>'DOE25'!G501</f>
        <v>0</v>
      </c>
      <c r="D161" s="19">
        <f>'DOE25'!H501</f>
        <v>0</v>
      </c>
      <c r="E161" s="19">
        <f>'DOE25'!I501</f>
        <v>0</v>
      </c>
      <c r="F161" s="19">
        <f>'DOE25'!J501</f>
        <v>0</v>
      </c>
      <c r="G161" s="96">
        <f t="shared" si="8"/>
        <v>236857</v>
      </c>
    </row>
    <row r="162" spans="1:7" x14ac:dyDescent="0.2">
      <c r="A162" s="21" t="s">
        <v>38</v>
      </c>
      <c r="B162" s="19">
        <f>'DOE25'!F502</f>
        <v>233593</v>
      </c>
      <c r="C162" s="19">
        <f>'DOE25'!G502</f>
        <v>0</v>
      </c>
      <c r="D162" s="19">
        <f>'DOE25'!H502</f>
        <v>0</v>
      </c>
      <c r="E162" s="19">
        <f>'DOE25'!I502</f>
        <v>0</v>
      </c>
      <c r="F162" s="19">
        <f>'DOE25'!J502</f>
        <v>0</v>
      </c>
      <c r="G162" s="96">
        <f t="shared" si="8"/>
        <v>233593</v>
      </c>
    </row>
    <row r="163" spans="1:7" x14ac:dyDescent="0.2">
      <c r="A163" s="21" t="s">
        <v>39</v>
      </c>
      <c r="B163" s="19">
        <f>'DOE25'!F503</f>
        <v>3264</v>
      </c>
      <c r="C163" s="19">
        <f>'DOE25'!G503</f>
        <v>0</v>
      </c>
      <c r="D163" s="19">
        <f>'DOE25'!H503</f>
        <v>0</v>
      </c>
      <c r="E163" s="19">
        <f>'DOE25'!I503</f>
        <v>0</v>
      </c>
      <c r="F163" s="19">
        <f>'DOE25'!J503</f>
        <v>0</v>
      </c>
      <c r="G163" s="96">
        <f t="shared" si="8"/>
        <v>3264</v>
      </c>
    </row>
    <row r="164" spans="1:7" x14ac:dyDescent="0.2">
      <c r="A164" s="21" t="s">
        <v>246</v>
      </c>
      <c r="B164" s="19">
        <f>'DOE25'!F504</f>
        <v>236857</v>
      </c>
      <c r="C164" s="19">
        <f>'DOE25'!G504</f>
        <v>0</v>
      </c>
      <c r="D164" s="19">
        <f>'DOE25'!H504</f>
        <v>0</v>
      </c>
      <c r="E164" s="19">
        <f>'DOE25'!I504</f>
        <v>0</v>
      </c>
      <c r="F164" s="19">
        <f>'DOE25'!J504</f>
        <v>0</v>
      </c>
      <c r="G164" s="96">
        <f t="shared" si="8"/>
        <v>236857</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Winnisquam Regional</v>
      </c>
    </row>
    <row r="3" spans="1:4" x14ac:dyDescent="0.2">
      <c r="B3" s="136" t="s">
        <v>1792</v>
      </c>
    </row>
    <row r="4" spans="1:4" x14ac:dyDescent="0.2">
      <c r="B4" t="s">
        <v>61</v>
      </c>
      <c r="C4" s="128">
        <f>IF('DOE25'!F666+'DOE25'!F671=0,0,ROUND('DOE25'!F673,0))</f>
        <v>21445</v>
      </c>
    </row>
    <row r="5" spans="1:4" x14ac:dyDescent="0.2">
      <c r="B5" t="s">
        <v>700</v>
      </c>
      <c r="C5" s="128">
        <f>IF('DOE25'!G666+'DOE25'!G671=0,0,ROUND('DOE25'!G673,0))</f>
        <v>19839</v>
      </c>
    </row>
    <row r="6" spans="1:4" x14ac:dyDescent="0.2">
      <c r="B6" t="s">
        <v>62</v>
      </c>
      <c r="C6" s="128">
        <f>IF('DOE25'!H666+'DOE25'!H671=0,0,ROUND('DOE25'!H673,0))</f>
        <v>21552</v>
      </c>
    </row>
    <row r="7" spans="1:4" x14ac:dyDescent="0.2">
      <c r="B7" t="s">
        <v>701</v>
      </c>
      <c r="C7" s="128">
        <f>IF('DOE25'!I666+'DOE25'!I671=0,0,ROUND('DOE25'!I673,0))</f>
        <v>20975</v>
      </c>
    </row>
    <row r="9" spans="1:4" x14ac:dyDescent="0.2">
      <c r="A9" s="135" t="s">
        <v>94</v>
      </c>
      <c r="B9" s="136" t="s">
        <v>1793</v>
      </c>
      <c r="C9" s="130" t="s">
        <v>720</v>
      </c>
      <c r="D9" s="130" t="s">
        <v>721</v>
      </c>
    </row>
    <row r="10" spans="1:4" x14ac:dyDescent="0.2">
      <c r="A10">
        <v>1100</v>
      </c>
      <c r="B10" t="s">
        <v>702</v>
      </c>
      <c r="C10" s="128">
        <f>ROUND('DOE25'!L198+'DOE25'!L216+'DOE25'!L234+'DOE25'!L277+'DOE25'!L296+'DOE25'!L315,0)</f>
        <v>8612926</v>
      </c>
      <c r="D10" s="131">
        <f>ROUND((C10/$C$28)*100,1)</f>
        <v>32.5</v>
      </c>
    </row>
    <row r="11" spans="1:4" x14ac:dyDescent="0.2">
      <c r="A11">
        <v>1200</v>
      </c>
      <c r="B11" t="s">
        <v>703</v>
      </c>
      <c r="C11" s="128">
        <f>ROUND('DOE25'!L199+'DOE25'!L217+'DOE25'!L235+'DOE25'!L278+'DOE25'!L297+'DOE25'!L316,0)</f>
        <v>5072835</v>
      </c>
      <c r="D11" s="131">
        <f>ROUND((C11/$C$28)*100,1)</f>
        <v>19.2</v>
      </c>
    </row>
    <row r="12" spans="1:4" x14ac:dyDescent="0.2">
      <c r="A12">
        <v>1300</v>
      </c>
      <c r="B12" t="s">
        <v>704</v>
      </c>
      <c r="C12" s="128">
        <f>ROUND('DOE25'!L200+'DOE25'!L218+'DOE25'!L236+'DOE25'!L279+'DOE25'!L298+'DOE25'!L317,0)</f>
        <v>393759</v>
      </c>
      <c r="D12" s="131">
        <f>ROUND((C12/$C$28)*100,1)</f>
        <v>1.5</v>
      </c>
    </row>
    <row r="13" spans="1:4" x14ac:dyDescent="0.2">
      <c r="A13">
        <v>1400</v>
      </c>
      <c r="B13" t="s">
        <v>705</v>
      </c>
      <c r="C13" s="128">
        <f>ROUND('DOE25'!L201+'DOE25'!L219+'DOE25'!L237+'DOE25'!L280+'DOE25'!L299+'DOE25'!L318,0)</f>
        <v>552097</v>
      </c>
      <c r="D13" s="131">
        <f>ROUND((C13/$C$28)*100,1)</f>
        <v>2.1</v>
      </c>
    </row>
    <row r="14" spans="1:4" x14ac:dyDescent="0.2">
      <c r="D14" s="131"/>
    </row>
    <row r="15" spans="1:4" x14ac:dyDescent="0.2">
      <c r="A15">
        <v>2100</v>
      </c>
      <c r="B15" t="s">
        <v>706</v>
      </c>
      <c r="C15" s="128">
        <f>ROUND('DOE25'!L203+'DOE25'!L221+'DOE25'!L239+'DOE25'!L282+'DOE25'!L301+'DOE25'!L320,0)</f>
        <v>2027089</v>
      </c>
      <c r="D15" s="131">
        <f t="shared" ref="D15:D27" si="0">ROUND((C15/$C$28)*100,1)</f>
        <v>7.7</v>
      </c>
    </row>
    <row r="16" spans="1:4" x14ac:dyDescent="0.2">
      <c r="A16">
        <v>2200</v>
      </c>
      <c r="B16" t="s">
        <v>707</v>
      </c>
      <c r="C16" s="128">
        <f>ROUND('DOE25'!L204+'DOE25'!L222+'DOE25'!L240+'DOE25'!L283+'DOE25'!L302+'DOE25'!L321,0)</f>
        <v>1056964</v>
      </c>
      <c r="D16" s="131">
        <f t="shared" si="0"/>
        <v>4</v>
      </c>
    </row>
    <row r="17" spans="1:4" x14ac:dyDescent="0.2">
      <c r="A17" s="132" t="s">
        <v>723</v>
      </c>
      <c r="B17" t="s">
        <v>738</v>
      </c>
      <c r="C17" s="128">
        <f>ROUND('DOE25'!L205+'DOE25'!L210+'DOE25'!L223+'DOE25'!L228+'DOE25'!L241+'DOE25'!L246+'DOE25'!L284+'DOE25'!L289+'DOE25'!L303+'DOE25'!L308+'DOE25'!L322+'DOE25'!L327,0)</f>
        <v>2376914</v>
      </c>
      <c r="D17" s="131">
        <f t="shared" si="0"/>
        <v>9</v>
      </c>
    </row>
    <row r="18" spans="1:4" x14ac:dyDescent="0.2">
      <c r="A18">
        <v>2400</v>
      </c>
      <c r="B18" t="s">
        <v>711</v>
      </c>
      <c r="C18" s="128">
        <f>ROUND('DOE25'!L206+'DOE25'!L224+'DOE25'!L242+'DOE25'!L285+'DOE25'!L304+'DOE25'!L323,0)</f>
        <v>1621031</v>
      </c>
      <c r="D18" s="131">
        <f t="shared" si="0"/>
        <v>6.1</v>
      </c>
    </row>
    <row r="19" spans="1:4" x14ac:dyDescent="0.2">
      <c r="A19">
        <v>2500</v>
      </c>
      <c r="B19" t="s">
        <v>708</v>
      </c>
      <c r="C19" s="128">
        <f>ROUND('DOE25'!L207+'DOE25'!L225+'DOE25'!L243+'DOE25'!L286+'DOE25'!L305+'DOE25'!L324,0)</f>
        <v>394217</v>
      </c>
      <c r="D19" s="131">
        <f t="shared" si="0"/>
        <v>1.5</v>
      </c>
    </row>
    <row r="20" spans="1:4" x14ac:dyDescent="0.2">
      <c r="A20">
        <v>2600</v>
      </c>
      <c r="B20" t="s">
        <v>709</v>
      </c>
      <c r="C20" s="128">
        <f>ROUND('DOE25'!L208+'DOE25'!L226+'DOE25'!L244+'DOE25'!L287+'DOE25'!L306+'DOE25'!L325,0)</f>
        <v>2744300</v>
      </c>
      <c r="D20" s="131">
        <f t="shared" si="0"/>
        <v>10.4</v>
      </c>
    </row>
    <row r="21" spans="1:4" x14ac:dyDescent="0.2">
      <c r="A21">
        <v>2700</v>
      </c>
      <c r="B21" t="s">
        <v>710</v>
      </c>
      <c r="C21" s="128">
        <f>ROUND('DOE25'!L209+'DOE25'!L227+'DOE25'!L245+'DOE25'!L288+'DOE25'!L307+'DOE25'!L326,0)</f>
        <v>1298262</v>
      </c>
      <c r="D21" s="131">
        <f t="shared" si="0"/>
        <v>4.9000000000000004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6513</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326042</v>
      </c>
      <c r="D27" s="131">
        <f t="shared" si="0"/>
        <v>1.2</v>
      </c>
    </row>
    <row r="28" spans="1:4" x14ac:dyDescent="0.2">
      <c r="B28" s="135" t="s">
        <v>719</v>
      </c>
      <c r="C28" s="129">
        <f>SUM(C10:C27)</f>
        <v>26482949</v>
      </c>
      <c r="D28" s="133">
        <f>ROUND(SUM(D10:D27),0)</f>
        <v>100</v>
      </c>
    </row>
    <row r="29" spans="1:4" x14ac:dyDescent="0.2">
      <c r="A29">
        <v>4000</v>
      </c>
      <c r="B29" t="s">
        <v>724</v>
      </c>
      <c r="C29" s="128">
        <f>ROUND('DOE25'!L256+'DOE25'!L337+'DOE25'!L375+'DOE25'!L376+'DOE25'!L377+'DOE25'!L378+'DOE25'!L379+'DOE25'!L380+'DOE25'!L381,0)</f>
        <v>1533964</v>
      </c>
    </row>
    <row r="30" spans="1:4" x14ac:dyDescent="0.2">
      <c r="B30" s="135" t="s">
        <v>725</v>
      </c>
      <c r="C30" s="129">
        <f>SUM(C28:C29)</f>
        <v>28016913</v>
      </c>
    </row>
    <row r="31" spans="1:4" x14ac:dyDescent="0.2">
      <c r="B31" s="32"/>
      <c r="C31" s="129"/>
    </row>
    <row r="32" spans="1:4" x14ac:dyDescent="0.2">
      <c r="A32">
        <v>5100</v>
      </c>
      <c r="B32" s="32" t="s">
        <v>726</v>
      </c>
      <c r="C32" s="129">
        <f>ROUND('DOE25'!L261+'DOE25'!L342,0)</f>
        <v>232088</v>
      </c>
    </row>
    <row r="34" spans="1:4" x14ac:dyDescent="0.2">
      <c r="A34" s="135" t="s">
        <v>94</v>
      </c>
      <c r="B34" s="136" t="s">
        <v>1794</v>
      </c>
      <c r="C34" s="130" t="s">
        <v>720</v>
      </c>
      <c r="D34" s="130" t="s">
        <v>721</v>
      </c>
    </row>
    <row r="35" spans="1:4" x14ac:dyDescent="0.2">
      <c r="A35">
        <v>1100</v>
      </c>
      <c r="B35" s="71" t="s">
        <v>727</v>
      </c>
      <c r="C35" s="128">
        <f>ROUND('DOE25'!F60+'DOE25'!G60+'DOE25'!H60+'DOE25'!I60+'DOE25'!J60,0)</f>
        <v>13431641</v>
      </c>
      <c r="D35" s="131">
        <f t="shared" ref="D35:D40" si="1">ROUND((C35/$C$41)*100,1)</f>
        <v>47.9</v>
      </c>
    </row>
    <row r="36" spans="1:4" x14ac:dyDescent="0.2">
      <c r="B36" s="71" t="s">
        <v>739</v>
      </c>
      <c r="C36" s="128">
        <f>SUM('DOE25'!F112:J112)-SUM('DOE25'!G97:G110)+('DOE25'!F175+'DOE25'!F176+'DOE25'!I175+'DOE25'!I176)-C35</f>
        <v>1147843</v>
      </c>
      <c r="D36" s="131">
        <f t="shared" si="1"/>
        <v>4.0999999999999996</v>
      </c>
    </row>
    <row r="37" spans="1:4" x14ac:dyDescent="0.2">
      <c r="A37" s="132" t="s">
        <v>831</v>
      </c>
      <c r="B37" s="71" t="s">
        <v>728</v>
      </c>
      <c r="C37" s="128">
        <f>ROUND('DOE25'!F117+'DOE25'!F118,0)</f>
        <v>9849271</v>
      </c>
      <c r="D37" s="131">
        <f t="shared" si="1"/>
        <v>35.1</v>
      </c>
    </row>
    <row r="38" spans="1:4" x14ac:dyDescent="0.2">
      <c r="A38" s="132" t="s">
        <v>734</v>
      </c>
      <c r="B38" s="71" t="s">
        <v>729</v>
      </c>
      <c r="C38" s="128">
        <f>ROUND(SUM('DOE25'!F140:J140)-SUM('DOE25'!F117:F119),0)</f>
        <v>432011</v>
      </c>
      <c r="D38" s="131">
        <f t="shared" si="1"/>
        <v>1.5</v>
      </c>
    </row>
    <row r="39" spans="1:4" x14ac:dyDescent="0.2">
      <c r="A39">
        <v>4000</v>
      </c>
      <c r="B39" s="71" t="s">
        <v>730</v>
      </c>
      <c r="C39" s="128">
        <f>ROUND('DOE25'!F170+'DOE25'!G170+'DOE25'!H170+'DOE25'!I170,0)</f>
        <v>3193816</v>
      </c>
      <c r="D39" s="131">
        <f t="shared" si="1"/>
        <v>11.4</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28054582</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40" t="s">
        <v>763</v>
      </c>
      <c r="B1" s="341"/>
      <c r="C1" s="341"/>
      <c r="D1" s="341"/>
      <c r="E1" s="341"/>
      <c r="F1" s="341"/>
      <c r="G1" s="341"/>
      <c r="H1" s="341"/>
      <c r="I1" s="341"/>
      <c r="J1" s="154"/>
      <c r="K1" s="154"/>
      <c r="L1" s="154"/>
      <c r="M1" s="155"/>
    </row>
    <row r="2" spans="1:13" ht="12.75" x14ac:dyDescent="0.2">
      <c r="A2" s="345" t="s">
        <v>760</v>
      </c>
      <c r="B2" s="346"/>
      <c r="C2" s="346"/>
      <c r="D2" s="346"/>
      <c r="E2" s="346"/>
      <c r="F2" s="343" t="str">
        <f>'DOE25'!A2</f>
        <v>Winnisquam Regional</v>
      </c>
      <c r="G2" s="344"/>
      <c r="H2" s="344"/>
      <c r="I2" s="344"/>
      <c r="M2" s="156"/>
    </row>
    <row r="3" spans="1:13" x14ac:dyDescent="0.2">
      <c r="A3" s="157" t="s">
        <v>761</v>
      </c>
      <c r="B3" s="130" t="s">
        <v>762</v>
      </c>
      <c r="C3" s="325" t="s">
        <v>764</v>
      </c>
      <c r="D3" s="325"/>
      <c r="E3" s="325"/>
      <c r="F3" s="325"/>
      <c r="G3" s="325"/>
      <c r="H3" s="325"/>
      <c r="I3" s="325"/>
      <c r="J3" s="325"/>
      <c r="K3" s="325"/>
      <c r="L3" s="325"/>
      <c r="M3" s="342"/>
    </row>
    <row r="4" spans="1:13" x14ac:dyDescent="0.2">
      <c r="A4" s="158"/>
      <c r="B4" s="149"/>
      <c r="C4" s="333"/>
      <c r="D4" s="333"/>
      <c r="E4" s="333"/>
      <c r="F4" s="333"/>
      <c r="G4" s="333"/>
      <c r="H4" s="333"/>
      <c r="I4" s="333"/>
      <c r="J4" s="333"/>
      <c r="K4" s="333"/>
      <c r="L4" s="333"/>
      <c r="M4" s="334"/>
    </row>
    <row r="5" spans="1:13" x14ac:dyDescent="0.2">
      <c r="A5" s="158"/>
      <c r="B5" s="149"/>
      <c r="C5" s="333"/>
      <c r="D5" s="333"/>
      <c r="E5" s="333"/>
      <c r="F5" s="333"/>
      <c r="G5" s="333"/>
      <c r="H5" s="333"/>
      <c r="I5" s="333"/>
      <c r="J5" s="333"/>
      <c r="K5" s="333"/>
      <c r="L5" s="333"/>
      <c r="M5" s="334"/>
    </row>
    <row r="6" spans="1:13" x14ac:dyDescent="0.2">
      <c r="A6" s="158"/>
      <c r="B6" s="149"/>
      <c r="C6" s="333"/>
      <c r="D6" s="333"/>
      <c r="E6" s="333"/>
      <c r="F6" s="333"/>
      <c r="G6" s="333"/>
      <c r="H6" s="333"/>
      <c r="I6" s="333"/>
      <c r="J6" s="333"/>
      <c r="K6" s="333"/>
      <c r="L6" s="333"/>
      <c r="M6" s="334"/>
    </row>
    <row r="7" spans="1:13" x14ac:dyDescent="0.2">
      <c r="A7" s="158"/>
      <c r="B7" s="149"/>
      <c r="C7" s="333"/>
      <c r="D7" s="333"/>
      <c r="E7" s="333"/>
      <c r="F7" s="333"/>
      <c r="G7" s="333"/>
      <c r="H7" s="333"/>
      <c r="I7" s="333"/>
      <c r="J7" s="333"/>
      <c r="K7" s="333"/>
      <c r="L7" s="333"/>
      <c r="M7" s="334"/>
    </row>
    <row r="8" spans="1:13" x14ac:dyDescent="0.2">
      <c r="A8" s="158"/>
      <c r="B8" s="149"/>
      <c r="C8" s="333"/>
      <c r="D8" s="333"/>
      <c r="E8" s="333"/>
      <c r="F8" s="333"/>
      <c r="G8" s="333"/>
      <c r="H8" s="333"/>
      <c r="I8" s="333"/>
      <c r="J8" s="333"/>
      <c r="K8" s="333"/>
      <c r="L8" s="333"/>
      <c r="M8" s="334"/>
    </row>
    <row r="9" spans="1:13" x14ac:dyDescent="0.2">
      <c r="A9" s="158"/>
      <c r="B9" s="149"/>
      <c r="C9" s="333"/>
      <c r="D9" s="333"/>
      <c r="E9" s="333"/>
      <c r="F9" s="333"/>
      <c r="G9" s="333"/>
      <c r="H9" s="333"/>
      <c r="I9" s="333"/>
      <c r="J9" s="333"/>
      <c r="K9" s="333"/>
      <c r="L9" s="333"/>
      <c r="M9" s="334"/>
    </row>
    <row r="10" spans="1:13" x14ac:dyDescent="0.2">
      <c r="A10" s="158"/>
      <c r="B10" s="149"/>
      <c r="C10" s="333"/>
      <c r="D10" s="333"/>
      <c r="E10" s="333"/>
      <c r="F10" s="333"/>
      <c r="G10" s="333"/>
      <c r="H10" s="333"/>
      <c r="I10" s="333"/>
      <c r="J10" s="333"/>
      <c r="K10" s="333"/>
      <c r="L10" s="333"/>
      <c r="M10" s="334"/>
    </row>
    <row r="11" spans="1:13" x14ac:dyDescent="0.2">
      <c r="A11" s="158"/>
      <c r="B11" s="149"/>
      <c r="C11" s="333"/>
      <c r="D11" s="333"/>
      <c r="E11" s="333"/>
      <c r="F11" s="333"/>
      <c r="G11" s="333"/>
      <c r="H11" s="333"/>
      <c r="I11" s="333"/>
      <c r="J11" s="333"/>
      <c r="K11" s="333"/>
      <c r="L11" s="333"/>
      <c r="M11" s="334"/>
    </row>
    <row r="12" spans="1:13" x14ac:dyDescent="0.2">
      <c r="A12" s="158"/>
      <c r="B12" s="149"/>
      <c r="C12" s="333"/>
      <c r="D12" s="333"/>
      <c r="E12" s="333"/>
      <c r="F12" s="333"/>
      <c r="G12" s="333"/>
      <c r="H12" s="333"/>
      <c r="I12" s="333"/>
      <c r="J12" s="333"/>
      <c r="K12" s="333"/>
      <c r="L12" s="333"/>
      <c r="M12" s="334"/>
    </row>
    <row r="13" spans="1:13" x14ac:dyDescent="0.2">
      <c r="A13" s="158"/>
      <c r="B13" s="149"/>
      <c r="C13" s="333"/>
      <c r="D13" s="333"/>
      <c r="E13" s="333"/>
      <c r="F13" s="333"/>
      <c r="G13" s="333"/>
      <c r="H13" s="333"/>
      <c r="I13" s="333"/>
      <c r="J13" s="333"/>
      <c r="K13" s="333"/>
      <c r="L13" s="333"/>
      <c r="M13" s="334"/>
    </row>
    <row r="14" spans="1:13" x14ac:dyDescent="0.2">
      <c r="A14" s="158"/>
      <c r="B14" s="149"/>
      <c r="C14" s="333"/>
      <c r="D14" s="333"/>
      <c r="E14" s="333"/>
      <c r="F14" s="333"/>
      <c r="G14" s="333"/>
      <c r="H14" s="333"/>
      <c r="I14" s="333"/>
      <c r="J14" s="333"/>
      <c r="K14" s="333"/>
      <c r="L14" s="333"/>
      <c r="M14" s="334"/>
    </row>
    <row r="15" spans="1:13" x14ac:dyDescent="0.2">
      <c r="A15" s="158"/>
      <c r="B15" s="149"/>
      <c r="C15" s="333"/>
      <c r="D15" s="333"/>
      <c r="E15" s="333"/>
      <c r="F15" s="333"/>
      <c r="G15" s="333"/>
      <c r="H15" s="333"/>
      <c r="I15" s="333"/>
      <c r="J15" s="333"/>
      <c r="K15" s="333"/>
      <c r="L15" s="333"/>
      <c r="M15" s="334"/>
    </row>
    <row r="16" spans="1:13" x14ac:dyDescent="0.2">
      <c r="A16" s="158"/>
      <c r="B16" s="149"/>
      <c r="C16" s="333"/>
      <c r="D16" s="333"/>
      <c r="E16" s="333"/>
      <c r="F16" s="333"/>
      <c r="G16" s="333"/>
      <c r="H16" s="333"/>
      <c r="I16" s="333"/>
      <c r="J16" s="333"/>
      <c r="K16" s="333"/>
      <c r="L16" s="333"/>
      <c r="M16" s="334"/>
    </row>
    <row r="17" spans="1:256" x14ac:dyDescent="0.2">
      <c r="A17" s="158"/>
      <c r="B17" s="149"/>
      <c r="C17" s="333"/>
      <c r="D17" s="333"/>
      <c r="E17" s="333"/>
      <c r="F17" s="333"/>
      <c r="G17" s="333"/>
      <c r="H17" s="333"/>
      <c r="I17" s="333"/>
      <c r="J17" s="333"/>
      <c r="K17" s="333"/>
      <c r="L17" s="333"/>
      <c r="M17" s="334"/>
    </row>
    <row r="18" spans="1:256" x14ac:dyDescent="0.2">
      <c r="A18" s="158"/>
      <c r="B18" s="149"/>
      <c r="C18" s="333"/>
      <c r="D18" s="333"/>
      <c r="E18" s="333"/>
      <c r="F18" s="333"/>
      <c r="G18" s="333"/>
      <c r="H18" s="333"/>
      <c r="I18" s="333"/>
      <c r="J18" s="333"/>
      <c r="K18" s="333"/>
      <c r="L18" s="333"/>
      <c r="M18" s="334"/>
    </row>
    <row r="19" spans="1:256" x14ac:dyDescent="0.2">
      <c r="A19" s="158"/>
      <c r="B19" s="149"/>
      <c r="C19" s="333"/>
      <c r="D19" s="333"/>
      <c r="E19" s="333"/>
      <c r="F19" s="333"/>
      <c r="G19" s="333"/>
      <c r="H19" s="333"/>
      <c r="I19" s="333"/>
      <c r="J19" s="333"/>
      <c r="K19" s="333"/>
      <c r="L19" s="333"/>
      <c r="M19" s="334"/>
    </row>
    <row r="20" spans="1:256" x14ac:dyDescent="0.2">
      <c r="A20" s="158"/>
      <c r="B20" s="149"/>
      <c r="C20" s="333"/>
      <c r="D20" s="333"/>
      <c r="E20" s="333"/>
      <c r="F20" s="333"/>
      <c r="G20" s="333"/>
      <c r="H20" s="333"/>
      <c r="I20" s="333"/>
      <c r="J20" s="333"/>
      <c r="K20" s="333"/>
      <c r="L20" s="333"/>
      <c r="M20" s="334"/>
    </row>
    <row r="21" spans="1:256" x14ac:dyDescent="0.2">
      <c r="A21" s="158"/>
      <c r="B21" s="149"/>
      <c r="C21" s="333"/>
      <c r="D21" s="333"/>
      <c r="E21" s="333"/>
      <c r="F21" s="333"/>
      <c r="G21" s="333"/>
      <c r="H21" s="333"/>
      <c r="I21" s="333"/>
      <c r="J21" s="333"/>
      <c r="K21" s="333"/>
      <c r="L21" s="333"/>
      <c r="M21" s="334"/>
    </row>
    <row r="22" spans="1:256" x14ac:dyDescent="0.2">
      <c r="A22" s="158"/>
      <c r="B22" s="149"/>
      <c r="C22" s="333"/>
      <c r="D22" s="333"/>
      <c r="E22" s="333"/>
      <c r="F22" s="333"/>
      <c r="G22" s="333"/>
      <c r="H22" s="333"/>
      <c r="I22" s="333"/>
      <c r="J22" s="333"/>
      <c r="K22" s="333"/>
      <c r="L22" s="333"/>
      <c r="M22" s="334"/>
    </row>
    <row r="23" spans="1:256" x14ac:dyDescent="0.2">
      <c r="A23" s="158"/>
      <c r="B23" s="149"/>
      <c r="C23" s="333"/>
      <c r="D23" s="333"/>
      <c r="E23" s="333"/>
      <c r="F23" s="333"/>
      <c r="G23" s="333"/>
      <c r="H23" s="333"/>
      <c r="I23" s="333"/>
      <c r="J23" s="333"/>
      <c r="K23" s="333"/>
      <c r="L23" s="333"/>
      <c r="M23" s="334"/>
    </row>
    <row r="24" spans="1:256" x14ac:dyDescent="0.2">
      <c r="A24" s="158"/>
      <c r="B24" s="149"/>
      <c r="C24" s="333"/>
      <c r="D24" s="333"/>
      <c r="E24" s="333"/>
      <c r="F24" s="333"/>
      <c r="G24" s="333"/>
      <c r="H24" s="333"/>
      <c r="I24" s="333"/>
      <c r="J24" s="333"/>
      <c r="K24" s="333"/>
      <c r="L24" s="333"/>
      <c r="M24" s="334"/>
    </row>
    <row r="25" spans="1:256" x14ac:dyDescent="0.2">
      <c r="A25" s="158"/>
      <c r="B25" s="149"/>
      <c r="C25" s="333"/>
      <c r="D25" s="333"/>
      <c r="E25" s="333"/>
      <c r="F25" s="333"/>
      <c r="G25" s="333"/>
      <c r="H25" s="333"/>
      <c r="I25" s="333"/>
      <c r="J25" s="333"/>
      <c r="K25" s="333"/>
      <c r="L25" s="333"/>
      <c r="M25" s="334"/>
    </row>
    <row r="26" spans="1:256" x14ac:dyDescent="0.2">
      <c r="A26" s="158"/>
      <c r="B26" s="149"/>
      <c r="C26" s="333"/>
      <c r="D26" s="333"/>
      <c r="E26" s="333"/>
      <c r="F26" s="333"/>
      <c r="G26" s="333"/>
      <c r="H26" s="333"/>
      <c r="I26" s="333"/>
      <c r="J26" s="333"/>
      <c r="K26" s="333"/>
      <c r="L26" s="333"/>
      <c r="M26" s="334"/>
    </row>
    <row r="27" spans="1:256" x14ac:dyDescent="0.2">
      <c r="A27" s="158"/>
      <c r="B27" s="149"/>
      <c r="C27" s="333"/>
      <c r="D27" s="333"/>
      <c r="E27" s="333"/>
      <c r="F27" s="333"/>
      <c r="G27" s="333"/>
      <c r="H27" s="333"/>
      <c r="I27" s="333"/>
      <c r="J27" s="333"/>
      <c r="K27" s="333"/>
      <c r="L27" s="333"/>
      <c r="M27" s="334"/>
    </row>
    <row r="28" spans="1:256" x14ac:dyDescent="0.2">
      <c r="A28" s="158"/>
      <c r="B28" s="149"/>
      <c r="C28" s="333"/>
      <c r="D28" s="333"/>
      <c r="E28" s="333"/>
      <c r="F28" s="333"/>
      <c r="G28" s="333"/>
      <c r="H28" s="333"/>
      <c r="I28" s="333"/>
      <c r="J28" s="333"/>
      <c r="K28" s="333"/>
      <c r="L28" s="333"/>
      <c r="M28" s="334"/>
    </row>
    <row r="29" spans="1:256" x14ac:dyDescent="0.2">
      <c r="A29" s="158"/>
      <c r="B29" s="149"/>
      <c r="C29" s="333"/>
      <c r="D29" s="333"/>
      <c r="E29" s="333"/>
      <c r="F29" s="333"/>
      <c r="G29" s="333"/>
      <c r="H29" s="333"/>
      <c r="I29" s="333"/>
      <c r="J29" s="333"/>
      <c r="K29" s="333"/>
      <c r="L29" s="333"/>
      <c r="M29" s="334"/>
      <c r="N29" s="152"/>
      <c r="O29" s="152"/>
      <c r="P29" s="338"/>
      <c r="Q29" s="338"/>
      <c r="R29" s="338"/>
      <c r="S29" s="338"/>
      <c r="T29" s="338"/>
      <c r="U29" s="338"/>
      <c r="V29" s="338"/>
      <c r="W29" s="338"/>
      <c r="X29" s="338"/>
      <c r="Y29" s="338"/>
      <c r="Z29" s="338"/>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4"/>
      <c r="N30" s="152"/>
      <c r="O30" s="152"/>
      <c r="P30" s="338"/>
      <c r="Q30" s="338"/>
      <c r="R30" s="338"/>
      <c r="S30" s="338"/>
      <c r="T30" s="338"/>
      <c r="U30" s="338"/>
      <c r="V30" s="338"/>
      <c r="W30" s="338"/>
      <c r="X30" s="338"/>
      <c r="Y30" s="338"/>
      <c r="Z30" s="338"/>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4"/>
      <c r="N31" s="152"/>
      <c r="O31" s="152"/>
      <c r="P31" s="338"/>
      <c r="Q31" s="338"/>
      <c r="R31" s="338"/>
      <c r="S31" s="338"/>
      <c r="T31" s="338"/>
      <c r="U31" s="338"/>
      <c r="V31" s="338"/>
      <c r="W31" s="338"/>
      <c r="X31" s="338"/>
      <c r="Y31" s="338"/>
      <c r="Z31" s="338"/>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4"/>
      <c r="N32" s="152"/>
      <c r="O32" s="152"/>
      <c r="P32" s="338"/>
      <c r="Q32" s="338"/>
      <c r="R32" s="338"/>
      <c r="S32" s="338"/>
      <c r="T32" s="338"/>
      <c r="U32" s="338"/>
      <c r="V32" s="338"/>
      <c r="W32" s="338"/>
      <c r="X32" s="338"/>
      <c r="Y32" s="338"/>
      <c r="Z32" s="339"/>
      <c r="AA32" s="158"/>
      <c r="AB32" s="149"/>
      <c r="AC32" s="333"/>
      <c r="AD32" s="333"/>
      <c r="AE32" s="333"/>
      <c r="AF32" s="333"/>
      <c r="AG32" s="333"/>
      <c r="AH32" s="333"/>
      <c r="AI32" s="333"/>
      <c r="AJ32" s="333"/>
      <c r="AK32" s="333"/>
      <c r="AL32" s="333"/>
      <c r="AM32" s="334"/>
      <c r="AN32" s="158"/>
      <c r="AO32" s="149"/>
      <c r="AP32" s="333"/>
      <c r="AQ32" s="333"/>
      <c r="AR32" s="333"/>
      <c r="AS32" s="333"/>
      <c r="AT32" s="333"/>
      <c r="AU32" s="333"/>
      <c r="AV32" s="333"/>
      <c r="AW32" s="333"/>
      <c r="AX32" s="333"/>
      <c r="AY32" s="333"/>
      <c r="AZ32" s="334"/>
      <c r="BA32" s="158"/>
      <c r="BB32" s="149"/>
      <c r="BC32" s="333"/>
      <c r="BD32" s="333"/>
      <c r="BE32" s="333"/>
      <c r="BF32" s="333"/>
      <c r="BG32" s="333"/>
      <c r="BH32" s="333"/>
      <c r="BI32" s="333"/>
      <c r="BJ32" s="333"/>
      <c r="BK32" s="333"/>
      <c r="BL32" s="333"/>
      <c r="BM32" s="334"/>
      <c r="BN32" s="158"/>
      <c r="BO32" s="149"/>
      <c r="BP32" s="333"/>
      <c r="BQ32" s="333"/>
      <c r="BR32" s="333"/>
      <c r="BS32" s="333"/>
      <c r="BT32" s="333"/>
      <c r="BU32" s="333"/>
      <c r="BV32" s="333"/>
      <c r="BW32" s="333"/>
      <c r="BX32" s="333"/>
      <c r="BY32" s="333"/>
      <c r="BZ32" s="334"/>
      <c r="CA32" s="158"/>
      <c r="CB32" s="149"/>
      <c r="CC32" s="333"/>
      <c r="CD32" s="333"/>
      <c r="CE32" s="333"/>
      <c r="CF32" s="333"/>
      <c r="CG32" s="333"/>
      <c r="CH32" s="333"/>
      <c r="CI32" s="333"/>
      <c r="CJ32" s="333"/>
      <c r="CK32" s="333"/>
      <c r="CL32" s="333"/>
      <c r="CM32" s="334"/>
      <c r="CN32" s="158"/>
      <c r="CO32" s="149"/>
      <c r="CP32" s="333"/>
      <c r="CQ32" s="333"/>
      <c r="CR32" s="333"/>
      <c r="CS32" s="333"/>
      <c r="CT32" s="333"/>
      <c r="CU32" s="333"/>
      <c r="CV32" s="333"/>
      <c r="CW32" s="333"/>
      <c r="CX32" s="333"/>
      <c r="CY32" s="333"/>
      <c r="CZ32" s="334"/>
      <c r="DA32" s="158"/>
      <c r="DB32" s="149"/>
      <c r="DC32" s="333"/>
      <c r="DD32" s="333"/>
      <c r="DE32" s="333"/>
      <c r="DF32" s="333"/>
      <c r="DG32" s="333"/>
      <c r="DH32" s="333"/>
      <c r="DI32" s="333"/>
      <c r="DJ32" s="333"/>
      <c r="DK32" s="333"/>
      <c r="DL32" s="333"/>
      <c r="DM32" s="334"/>
      <c r="DN32" s="158"/>
      <c r="DO32" s="149"/>
      <c r="DP32" s="333"/>
      <c r="DQ32" s="333"/>
      <c r="DR32" s="333"/>
      <c r="DS32" s="333"/>
      <c r="DT32" s="333"/>
      <c r="DU32" s="333"/>
      <c r="DV32" s="333"/>
      <c r="DW32" s="333"/>
      <c r="DX32" s="333"/>
      <c r="DY32" s="333"/>
      <c r="DZ32" s="334"/>
      <c r="EA32" s="158"/>
      <c r="EB32" s="149"/>
      <c r="EC32" s="333"/>
      <c r="ED32" s="333"/>
      <c r="EE32" s="333"/>
      <c r="EF32" s="333"/>
      <c r="EG32" s="333"/>
      <c r="EH32" s="333"/>
      <c r="EI32" s="333"/>
      <c r="EJ32" s="333"/>
      <c r="EK32" s="333"/>
      <c r="EL32" s="333"/>
      <c r="EM32" s="334"/>
      <c r="EN32" s="158"/>
      <c r="EO32" s="149"/>
      <c r="EP32" s="333"/>
      <c r="EQ32" s="333"/>
      <c r="ER32" s="333"/>
      <c r="ES32" s="333"/>
      <c r="ET32" s="333"/>
      <c r="EU32" s="333"/>
      <c r="EV32" s="333"/>
      <c r="EW32" s="333"/>
      <c r="EX32" s="333"/>
      <c r="EY32" s="333"/>
      <c r="EZ32" s="334"/>
      <c r="FA32" s="158"/>
      <c r="FB32" s="149"/>
      <c r="FC32" s="333"/>
      <c r="FD32" s="333"/>
      <c r="FE32" s="333"/>
      <c r="FF32" s="333"/>
      <c r="FG32" s="333"/>
      <c r="FH32" s="333"/>
      <c r="FI32" s="333"/>
      <c r="FJ32" s="333"/>
      <c r="FK32" s="333"/>
      <c r="FL32" s="333"/>
      <c r="FM32" s="334"/>
      <c r="FN32" s="158"/>
      <c r="FO32" s="149"/>
      <c r="FP32" s="333"/>
      <c r="FQ32" s="333"/>
      <c r="FR32" s="333"/>
      <c r="FS32" s="333"/>
      <c r="FT32" s="333"/>
      <c r="FU32" s="333"/>
      <c r="FV32" s="333"/>
      <c r="FW32" s="333"/>
      <c r="FX32" s="333"/>
      <c r="FY32" s="333"/>
      <c r="FZ32" s="334"/>
      <c r="GA32" s="158"/>
      <c r="GB32" s="149"/>
      <c r="GC32" s="333"/>
      <c r="GD32" s="333"/>
      <c r="GE32" s="333"/>
      <c r="GF32" s="333"/>
      <c r="GG32" s="333"/>
      <c r="GH32" s="333"/>
      <c r="GI32" s="333"/>
      <c r="GJ32" s="333"/>
      <c r="GK32" s="333"/>
      <c r="GL32" s="333"/>
      <c r="GM32" s="334"/>
      <c r="GN32" s="158"/>
      <c r="GO32" s="149"/>
      <c r="GP32" s="333"/>
      <c r="GQ32" s="333"/>
      <c r="GR32" s="333"/>
      <c r="GS32" s="333"/>
      <c r="GT32" s="333"/>
      <c r="GU32" s="333"/>
      <c r="GV32" s="333"/>
      <c r="GW32" s="333"/>
      <c r="GX32" s="333"/>
      <c r="GY32" s="333"/>
      <c r="GZ32" s="334"/>
      <c r="HA32" s="158"/>
      <c r="HB32" s="149"/>
      <c r="HC32" s="333"/>
      <c r="HD32" s="333"/>
      <c r="HE32" s="333"/>
      <c r="HF32" s="333"/>
      <c r="HG32" s="333"/>
      <c r="HH32" s="333"/>
      <c r="HI32" s="333"/>
      <c r="HJ32" s="333"/>
      <c r="HK32" s="333"/>
      <c r="HL32" s="333"/>
      <c r="HM32" s="334"/>
      <c r="HN32" s="158"/>
      <c r="HO32" s="149"/>
      <c r="HP32" s="333"/>
      <c r="HQ32" s="333"/>
      <c r="HR32" s="333"/>
      <c r="HS32" s="333"/>
      <c r="HT32" s="333"/>
      <c r="HU32" s="333"/>
      <c r="HV32" s="333"/>
      <c r="HW32" s="333"/>
      <c r="HX32" s="333"/>
      <c r="HY32" s="333"/>
      <c r="HZ32" s="334"/>
      <c r="IA32" s="158"/>
      <c r="IB32" s="149"/>
      <c r="IC32" s="333"/>
      <c r="ID32" s="333"/>
      <c r="IE32" s="333"/>
      <c r="IF32" s="333"/>
      <c r="IG32" s="333"/>
      <c r="IH32" s="333"/>
      <c r="II32" s="333"/>
      <c r="IJ32" s="333"/>
      <c r="IK32" s="333"/>
      <c r="IL32" s="333"/>
      <c r="IM32" s="334"/>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4"/>
      <c r="N38" s="152"/>
      <c r="O38" s="152"/>
      <c r="P38" s="338"/>
      <c r="Q38" s="338"/>
      <c r="R38" s="338"/>
      <c r="S38" s="338"/>
      <c r="T38" s="338"/>
      <c r="U38" s="338"/>
      <c r="V38" s="338"/>
      <c r="W38" s="338"/>
      <c r="X38" s="338"/>
      <c r="Y38" s="338"/>
      <c r="Z38" s="338"/>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4"/>
      <c r="N39" s="152"/>
      <c r="O39" s="152"/>
      <c r="P39" s="338"/>
      <c r="Q39" s="338"/>
      <c r="R39" s="338"/>
      <c r="S39" s="338"/>
      <c r="T39" s="338"/>
      <c r="U39" s="338"/>
      <c r="V39" s="338"/>
      <c r="W39" s="338"/>
      <c r="X39" s="338"/>
      <c r="Y39" s="338"/>
      <c r="Z39" s="338"/>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4"/>
      <c r="N40" s="152"/>
      <c r="O40" s="152"/>
      <c r="P40" s="338"/>
      <c r="Q40" s="338"/>
      <c r="R40" s="338"/>
      <c r="S40" s="338"/>
      <c r="T40" s="338"/>
      <c r="U40" s="338"/>
      <c r="V40" s="338"/>
      <c r="W40" s="338"/>
      <c r="X40" s="338"/>
      <c r="Y40" s="338"/>
      <c r="Z40" s="338"/>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4"/>
    </row>
    <row r="51" spans="1:256" x14ac:dyDescent="0.2">
      <c r="A51" s="158"/>
      <c r="B51" s="149"/>
      <c r="C51" s="333"/>
      <c r="D51" s="333"/>
      <c r="E51" s="333"/>
      <c r="F51" s="333"/>
      <c r="G51" s="333"/>
      <c r="H51" s="333"/>
      <c r="I51" s="333"/>
      <c r="J51" s="333"/>
      <c r="K51" s="333"/>
      <c r="L51" s="333"/>
      <c r="M51" s="334"/>
    </row>
    <row r="52" spans="1:256" x14ac:dyDescent="0.2">
      <c r="A52" s="158"/>
      <c r="B52" s="149"/>
      <c r="C52" s="333"/>
      <c r="D52" s="333"/>
      <c r="E52" s="333"/>
      <c r="F52" s="333"/>
      <c r="G52" s="333"/>
      <c r="H52" s="333"/>
      <c r="I52" s="333"/>
      <c r="J52" s="333"/>
      <c r="K52" s="333"/>
      <c r="L52" s="333"/>
      <c r="M52" s="334"/>
    </row>
    <row r="53" spans="1:256" x14ac:dyDescent="0.2">
      <c r="A53" s="158"/>
      <c r="B53" s="149"/>
      <c r="C53" s="333"/>
      <c r="D53" s="333"/>
      <c r="E53" s="333"/>
      <c r="F53" s="333"/>
      <c r="G53" s="333"/>
      <c r="H53" s="333"/>
      <c r="I53" s="333"/>
      <c r="J53" s="333"/>
      <c r="K53" s="333"/>
      <c r="L53" s="333"/>
      <c r="M53" s="334"/>
    </row>
    <row r="54" spans="1:256" x14ac:dyDescent="0.2">
      <c r="A54" s="158"/>
      <c r="B54" s="149"/>
      <c r="C54" s="333"/>
      <c r="D54" s="333"/>
      <c r="E54" s="333"/>
      <c r="F54" s="333"/>
      <c r="G54" s="333"/>
      <c r="H54" s="333"/>
      <c r="I54" s="333"/>
      <c r="J54" s="333"/>
      <c r="K54" s="333"/>
      <c r="L54" s="333"/>
      <c r="M54" s="334"/>
    </row>
    <row r="55" spans="1:256" x14ac:dyDescent="0.2">
      <c r="A55" s="158"/>
      <c r="B55" s="149"/>
      <c r="C55" s="333"/>
      <c r="D55" s="333"/>
      <c r="E55" s="333"/>
      <c r="F55" s="333"/>
      <c r="G55" s="333"/>
      <c r="H55" s="333"/>
      <c r="I55" s="333"/>
      <c r="J55" s="333"/>
      <c r="K55" s="333"/>
      <c r="L55" s="333"/>
      <c r="M55" s="334"/>
    </row>
    <row r="56" spans="1:256" x14ac:dyDescent="0.2">
      <c r="A56" s="158"/>
      <c r="B56" s="149"/>
      <c r="C56" s="333"/>
      <c r="D56" s="333"/>
      <c r="E56" s="333"/>
      <c r="F56" s="333"/>
      <c r="G56" s="333"/>
      <c r="H56" s="333"/>
      <c r="I56" s="333"/>
      <c r="J56" s="333"/>
      <c r="K56" s="333"/>
      <c r="L56" s="333"/>
      <c r="M56" s="334"/>
    </row>
    <row r="57" spans="1:256" x14ac:dyDescent="0.2">
      <c r="A57" s="158"/>
      <c r="B57" s="149"/>
      <c r="C57" s="333"/>
      <c r="D57" s="333"/>
      <c r="E57" s="333"/>
      <c r="F57" s="333"/>
      <c r="G57" s="333"/>
      <c r="H57" s="333"/>
      <c r="I57" s="333"/>
      <c r="J57" s="333"/>
      <c r="K57" s="333"/>
      <c r="L57" s="333"/>
      <c r="M57" s="334"/>
    </row>
    <row r="58" spans="1:256" x14ac:dyDescent="0.2">
      <c r="A58" s="158"/>
      <c r="B58" s="149"/>
      <c r="C58" s="333"/>
      <c r="D58" s="333"/>
      <c r="E58" s="333"/>
      <c r="F58" s="333"/>
      <c r="G58" s="333"/>
      <c r="H58" s="333"/>
      <c r="I58" s="333"/>
      <c r="J58" s="333"/>
      <c r="K58" s="333"/>
      <c r="L58" s="333"/>
      <c r="M58" s="334"/>
    </row>
    <row r="59" spans="1:256" x14ac:dyDescent="0.2">
      <c r="A59" s="158"/>
      <c r="B59" s="149"/>
      <c r="C59" s="333"/>
      <c r="D59" s="333"/>
      <c r="E59" s="333"/>
      <c r="F59" s="333"/>
      <c r="G59" s="333"/>
      <c r="H59" s="333"/>
      <c r="I59" s="333"/>
      <c r="J59" s="333"/>
      <c r="K59" s="333"/>
      <c r="L59" s="333"/>
      <c r="M59" s="334"/>
    </row>
    <row r="60" spans="1:256" x14ac:dyDescent="0.2">
      <c r="A60" s="158"/>
      <c r="B60" s="149"/>
      <c r="C60" s="333"/>
      <c r="D60" s="333"/>
      <c r="E60" s="333"/>
      <c r="F60" s="333"/>
      <c r="G60" s="333"/>
      <c r="H60" s="333"/>
      <c r="I60" s="333"/>
      <c r="J60" s="333"/>
      <c r="K60" s="333"/>
      <c r="L60" s="333"/>
      <c r="M60" s="334"/>
    </row>
    <row r="61" spans="1:256" x14ac:dyDescent="0.2">
      <c r="A61" s="158"/>
      <c r="B61" s="149"/>
      <c r="C61" s="333"/>
      <c r="D61" s="333"/>
      <c r="E61" s="333"/>
      <c r="F61" s="333"/>
      <c r="G61" s="333"/>
      <c r="H61" s="333"/>
      <c r="I61" s="333"/>
      <c r="J61" s="333"/>
      <c r="K61" s="333"/>
      <c r="L61" s="333"/>
      <c r="M61" s="334"/>
    </row>
    <row r="62" spans="1:256" x14ac:dyDescent="0.2">
      <c r="A62" s="158"/>
      <c r="B62" s="149"/>
      <c r="C62" s="333"/>
      <c r="D62" s="333"/>
      <c r="E62" s="333"/>
      <c r="F62" s="333"/>
      <c r="G62" s="333"/>
      <c r="H62" s="333"/>
      <c r="I62" s="333"/>
      <c r="J62" s="333"/>
      <c r="K62" s="333"/>
      <c r="L62" s="333"/>
      <c r="M62" s="334"/>
    </row>
    <row r="63" spans="1:256" x14ac:dyDescent="0.2">
      <c r="A63" s="158"/>
      <c r="B63" s="149"/>
      <c r="C63" s="333"/>
      <c r="D63" s="333"/>
      <c r="E63" s="333"/>
      <c r="F63" s="333"/>
      <c r="G63" s="333"/>
      <c r="H63" s="333"/>
      <c r="I63" s="333"/>
      <c r="J63" s="333"/>
      <c r="K63" s="333"/>
      <c r="L63" s="333"/>
      <c r="M63" s="334"/>
    </row>
    <row r="64" spans="1:256" x14ac:dyDescent="0.2">
      <c r="A64" s="158"/>
      <c r="B64" s="149"/>
      <c r="C64" s="333"/>
      <c r="D64" s="333"/>
      <c r="E64" s="333"/>
      <c r="F64" s="333"/>
      <c r="G64" s="333"/>
      <c r="H64" s="333"/>
      <c r="I64" s="333"/>
      <c r="J64" s="333"/>
      <c r="K64" s="333"/>
      <c r="L64" s="333"/>
      <c r="M64" s="334"/>
    </row>
    <row r="65" spans="1:13" x14ac:dyDescent="0.2">
      <c r="A65" s="158"/>
      <c r="B65" s="149"/>
      <c r="C65" s="333"/>
      <c r="D65" s="333"/>
      <c r="E65" s="333"/>
      <c r="F65" s="333"/>
      <c r="G65" s="333"/>
      <c r="H65" s="333"/>
      <c r="I65" s="333"/>
      <c r="J65" s="333"/>
      <c r="K65" s="333"/>
      <c r="L65" s="333"/>
      <c r="M65" s="334"/>
    </row>
    <row r="66" spans="1:13" x14ac:dyDescent="0.2">
      <c r="A66" s="158"/>
      <c r="B66" s="149"/>
      <c r="C66" s="333"/>
      <c r="D66" s="333"/>
      <c r="E66" s="333"/>
      <c r="F66" s="333"/>
      <c r="G66" s="333"/>
      <c r="H66" s="333"/>
      <c r="I66" s="333"/>
      <c r="J66" s="333"/>
      <c r="K66" s="333"/>
      <c r="L66" s="333"/>
      <c r="M66" s="334"/>
    </row>
    <row r="67" spans="1:13" x14ac:dyDescent="0.2">
      <c r="A67" s="158"/>
      <c r="B67" s="149"/>
      <c r="C67" s="333"/>
      <c r="D67" s="333"/>
      <c r="E67" s="333"/>
      <c r="F67" s="333"/>
      <c r="G67" s="333"/>
      <c r="H67" s="333"/>
      <c r="I67" s="333"/>
      <c r="J67" s="333"/>
      <c r="K67" s="333"/>
      <c r="L67" s="333"/>
      <c r="M67" s="334"/>
    </row>
    <row r="68" spans="1:13" x14ac:dyDescent="0.2">
      <c r="A68" s="158"/>
      <c r="B68" s="149"/>
      <c r="C68" s="333"/>
      <c r="D68" s="333"/>
      <c r="E68" s="333"/>
      <c r="F68" s="333"/>
      <c r="G68" s="333"/>
      <c r="H68" s="333"/>
      <c r="I68" s="333"/>
      <c r="J68" s="333"/>
      <c r="K68" s="333"/>
      <c r="L68" s="333"/>
      <c r="M68" s="334"/>
    </row>
    <row r="69" spans="1:13" x14ac:dyDescent="0.2">
      <c r="A69" s="158"/>
      <c r="B69" s="149"/>
      <c r="C69" s="333"/>
      <c r="D69" s="333"/>
      <c r="E69" s="333"/>
      <c r="F69" s="333"/>
      <c r="G69" s="333"/>
      <c r="H69" s="333"/>
      <c r="I69" s="333"/>
      <c r="J69" s="333"/>
      <c r="K69" s="333"/>
      <c r="L69" s="333"/>
      <c r="M69" s="334"/>
    </row>
    <row r="70" spans="1:13" ht="12" thickBot="1" x14ac:dyDescent="0.25">
      <c r="A70" s="159"/>
      <c r="B70" s="160"/>
      <c r="C70" s="335"/>
      <c r="D70" s="335"/>
      <c r="E70" s="335"/>
      <c r="F70" s="335"/>
      <c r="G70" s="335"/>
      <c r="H70" s="335"/>
      <c r="I70" s="335"/>
      <c r="J70" s="335"/>
      <c r="K70" s="335"/>
      <c r="L70" s="335"/>
      <c r="M70" s="336"/>
    </row>
    <row r="71" spans="1:13" ht="12" thickTop="1" x14ac:dyDescent="0.2">
      <c r="A71" s="150"/>
      <c r="B71" s="150"/>
      <c r="C71" s="151"/>
      <c r="D71" s="151"/>
      <c r="E71" s="151"/>
      <c r="F71" s="151"/>
      <c r="G71" s="151"/>
      <c r="H71" s="151"/>
      <c r="I71" s="151"/>
      <c r="J71" s="151"/>
      <c r="K71" s="151"/>
      <c r="L71" s="151"/>
    </row>
    <row r="72" spans="1:13" ht="12.75" x14ac:dyDescent="0.2">
      <c r="A72" s="337" t="s">
        <v>828</v>
      </c>
      <c r="B72" s="337"/>
      <c r="C72" s="337"/>
      <c r="D72" s="337"/>
      <c r="E72" s="337"/>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270</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IFERROR(SMALL($T$4:$T$95,ROWS($T$4:T4)),"")</f>
        <v>75</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IFERROR(SMALL(AE4:$AE$125,ROWS($AE$4:AE4)),"")</f>
        <v>99</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IFERROR(SMALL($I$4:$I$385,ROWS($I$4:I5)),"")</f>
        <v>284</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f>IFERROR(SMALL($I$4:$I$385,ROWS($I$4:I6)),"")</f>
        <v>328</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f>IF('School Level Expenditures'!$B$2='School Tables'!L78,'School Tables'!S78,"")</f>
        <v>75</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f>IF('School Level Expenditures'!$B$2='School Tables'!W102,'School Tables'!AD102,"")</f>
        <v>99</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f>IF('School Level Expenditures'!$B$2=A273,'School Tables'!H273,"")</f>
        <v>270</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f>IF('School Level Expenditures'!$B$2=A287,'School Tables'!H287,"")</f>
        <v>284</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f>IF('School Level Expenditures'!$B$2=A331,'School Tables'!H331,"")</f>
        <v>328</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2024-09-26T16:29:24Z</cp:lastPrinted>
  <dcterms:created xsi:type="dcterms:W3CDTF">1997-12-04T19:04:30Z</dcterms:created>
  <dcterms:modified xsi:type="dcterms:W3CDTF">2024-12-20T19:37:50Z</dcterms:modified>
</cp:coreProperties>
</file>