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ckets" sheetId="1" r:id="rId4"/>
    <sheet state="visible" name="Self Bucket" sheetId="2" r:id="rId5"/>
    <sheet state="visible" name="Drops" sheetId="3" r:id="rId6"/>
  </sheets>
  <definedNames/>
  <calcPr/>
</workbook>
</file>

<file path=xl/sharedStrings.xml><?xml version="1.0" encoding="utf-8"?>
<sst xmlns="http://schemas.openxmlformats.org/spreadsheetml/2006/main" count="145" uniqueCount="57">
  <si>
    <t>Bucket</t>
  </si>
  <si>
    <t>Ratio</t>
  </si>
  <si>
    <t>Current Allocation</t>
  </si>
  <si>
    <t>Goal</t>
  </si>
  <si>
    <t>Total Income</t>
  </si>
  <si>
    <t>Total Expenses</t>
  </si>
  <si>
    <t>Current Income</t>
  </si>
  <si>
    <t>Expenses</t>
  </si>
  <si>
    <t>Student Loans</t>
  </si>
  <si>
    <t>Subscriptions</t>
  </si>
  <si>
    <t>Car Savings</t>
  </si>
  <si>
    <t>Travel</t>
  </si>
  <si>
    <t>Missions</t>
  </si>
  <si>
    <t>Food</t>
  </si>
  <si>
    <t>Self</t>
  </si>
  <si>
    <t>Enterntainment</t>
  </si>
  <si>
    <t>Clothes</t>
  </si>
  <si>
    <t>Misc</t>
  </si>
  <si>
    <t>Item name</t>
  </si>
  <si>
    <t>Type</t>
  </si>
  <si>
    <t>Price</t>
  </si>
  <si>
    <t>Date</t>
  </si>
  <si>
    <t>Card</t>
  </si>
  <si>
    <t>Spotify</t>
  </si>
  <si>
    <t>Subscription</t>
  </si>
  <si>
    <t>Debit</t>
  </si>
  <si>
    <t>Hao Ru</t>
  </si>
  <si>
    <t>Crunchy Roll</t>
  </si>
  <si>
    <t>Two Front Tires</t>
  </si>
  <si>
    <t>Oil Change</t>
  </si>
  <si>
    <t>Mom's Gas</t>
  </si>
  <si>
    <t>Monclair Chinese</t>
  </si>
  <si>
    <t>My Gas</t>
  </si>
  <si>
    <t>Father's Day Meal</t>
  </si>
  <si>
    <t>Mom Gas</t>
  </si>
  <si>
    <t>Mom Car Inspection</t>
  </si>
  <si>
    <t>Bahama Breeze</t>
  </si>
  <si>
    <t>Credit</t>
  </si>
  <si>
    <t>Dinner w/ Alpine</t>
  </si>
  <si>
    <t>Emma Subway</t>
  </si>
  <si>
    <t>Coffee</t>
  </si>
  <si>
    <t>Megabytes</t>
  </si>
  <si>
    <t>Fried Rice</t>
  </si>
  <si>
    <t>Bibles</t>
  </si>
  <si>
    <t>Gas</t>
  </si>
  <si>
    <t>Hao Ru w/ PrePre</t>
  </si>
  <si>
    <t>Prime</t>
  </si>
  <si>
    <t>Hahu w/ Zoey</t>
  </si>
  <si>
    <t>Savings Deposit</t>
  </si>
  <si>
    <t>Income</t>
  </si>
  <si>
    <t>Savings</t>
  </si>
  <si>
    <t>Adobe Lightroom</t>
  </si>
  <si>
    <t>7-Eleven</t>
  </si>
  <si>
    <t>Aunty Monica Gift</t>
  </si>
  <si>
    <t>June Checkings</t>
  </si>
  <si>
    <t>June Savings</t>
  </si>
  <si>
    <t>Unaccounted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</si>
</sst>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8DBDE"/>
        <bgColor rgb="FFD8DBDE"/>
      </patternFill>
    </fill>
  </fills>
  <borders count="2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4A535C"/>
      </right>
      <top style="thin">
        <color rgb="FF4A535C"/>
      </top>
      <bottom style="thin">
        <color rgb="FF4A535C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FFFFFF"/>
      </bottom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F6F8F9"/>
      </bottom>
    </border>
    <border>
      <left style="thin">
        <color rgb="FF4A535C"/>
      </left>
      <right style="thin">
        <color rgb="FFD8DBDE"/>
      </right>
      <top>
        <color rgb="FF4A535C"/>
      </top>
      <bottom style="thin">
        <color rgb="FF4A535C"/>
      </bottom>
    </border>
    <border>
      <left style="thin">
        <color rgb="FFD8DBDE"/>
      </left>
      <right style="thin">
        <color rgb="FFD8DBDE"/>
      </right>
      <top>
        <color rgb="FF4A535C"/>
      </top>
      <bottom style="thin">
        <color rgb="FF4A535C"/>
      </bottom>
    </border>
    <border>
      <left style="thin">
        <color rgb="FFD8DBDE"/>
      </left>
      <right style="thin">
        <color rgb="FF4A535C"/>
      </right>
      <top>
        <color rgb="FF4A535C"/>
      </top>
      <bottom style="thin">
        <color rgb="FF4A535C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10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shrinkToFit="0" vertical="center" wrapText="0"/>
    </xf>
    <xf borderId="5" fillId="0" fontId="1" numFmtId="10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readingOrder="0" shrinkToFit="0" vertical="center" wrapText="0"/>
    </xf>
    <xf borderId="11" fillId="0" fontId="1" numFmtId="10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1" fillId="0" fontId="1" numFmtId="10" xfId="0" applyAlignment="1" applyBorder="1" applyFont="1" applyNumberFormat="1">
      <alignment readingOrder="0" shrinkToFit="0" vertical="center" wrapText="0"/>
    </xf>
    <xf borderId="5" fillId="0" fontId="1" numFmtId="10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10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4" fillId="0" fontId="1" numFmtId="10" xfId="0" applyAlignment="1" applyBorder="1" applyFont="1" applyNumberForma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vertical="bottom"/>
    </xf>
    <xf borderId="4" fillId="0" fontId="1" numFmtId="4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1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10" xfId="0" applyAlignment="1" applyBorder="1" applyFont="1" applyNumberFormat="1">
      <alignment shrinkToFit="0" vertical="center" wrapText="0"/>
    </xf>
    <xf borderId="13" fillId="0" fontId="1" numFmtId="49" xfId="0" applyAlignment="1" applyBorder="1" applyFont="1" applyNumberFormat="1">
      <alignment shrinkToFit="0" vertical="center" wrapText="0"/>
    </xf>
    <xf borderId="16" fillId="0" fontId="1" numFmtId="0" xfId="0" applyAlignment="1" applyBorder="1" applyFont="1">
      <alignment horizontal="left" readingOrder="0" shrinkToFit="0" vertical="center" wrapText="1"/>
    </xf>
    <xf borderId="17" fillId="0" fontId="1" numFmtId="0" xfId="0" applyAlignment="1" applyBorder="1" applyFont="1">
      <alignment horizontal="left" readingOrder="0" shrinkToFit="0" vertical="center" wrapText="1"/>
    </xf>
    <xf borderId="17" fillId="0" fontId="1" numFmtId="0" xfId="0" applyAlignment="1" applyBorder="1" applyFont="1">
      <alignment horizontal="left" readingOrder="0" shrinkToFit="0" vertical="center" wrapText="0"/>
    </xf>
    <xf borderId="18" fillId="0" fontId="1" numFmtId="0" xfId="0" applyAlignment="1" applyBorder="1" applyFont="1">
      <alignment horizontal="left" readingOrder="0" shrinkToFit="0" vertical="center" wrapText="0"/>
    </xf>
    <xf borderId="19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21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22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21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22" fillId="0" fontId="1" numFmtId="0" xfId="0" applyAlignment="1" applyBorder="1" applyFont="1">
      <alignment readingOrder="0" shrinkToFit="0" vertical="center" wrapText="0"/>
    </xf>
    <xf borderId="23" fillId="2" fontId="1" numFmtId="0" xfId="0" applyAlignment="1" applyBorder="1" applyFill="1" applyFont="1">
      <alignment readingOrder="0" shrinkToFit="0" vertical="center" wrapText="0"/>
    </xf>
    <xf borderId="24" fillId="2" fontId="1" numFmtId="0" xfId="0" applyAlignment="1" applyBorder="1" applyFont="1">
      <alignment readingOrder="0" shrinkToFit="0" vertical="center" wrapText="0"/>
    </xf>
    <xf borderId="25" fillId="2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626E7A"/>
          <bgColor rgb="FF626E7A"/>
        </patternFill>
      </fill>
      <border/>
    </dxf>
    <dxf>
      <font/>
      <fill>
        <patternFill patternType="solid">
          <fgColor rgb="FFD8DBDE"/>
          <bgColor rgb="FFD8DBDE"/>
        </patternFill>
      </fill>
      <border/>
    </dxf>
  </dxfs>
  <tableStyles count="7">
    <tableStyle count="3" pivot="0" name="Buckets-style">
      <tableStyleElement dxfId="1" type="headerRow"/>
      <tableStyleElement dxfId="2" type="firstRowStripe"/>
      <tableStyleElement dxfId="3" type="secondRowStripe"/>
    </tableStyle>
    <tableStyle count="3" pivot="0" name="Buckets-style 2">
      <tableStyleElement dxfId="1" type="headerRow"/>
      <tableStyleElement dxfId="2" type="firstRowStripe"/>
      <tableStyleElement dxfId="3" type="secondRowStripe"/>
    </tableStyle>
    <tableStyle count="3" pivot="0" name="Buckets-style 3">
      <tableStyleElement dxfId="1" type="headerRow"/>
      <tableStyleElement dxfId="2" type="firstRowStripe"/>
      <tableStyleElement dxfId="3" type="secondRowStripe"/>
    </tableStyle>
    <tableStyle count="3" pivot="0" name="Buckets-style 4">
      <tableStyleElement dxfId="1" type="headerRow"/>
      <tableStyleElement dxfId="2" type="firstRowStripe"/>
      <tableStyleElement dxfId="3" type="secondRowStripe"/>
    </tableStyle>
    <tableStyle count="3" pivot="0" name="Self Bucket-style">
      <tableStyleElement dxfId="1" type="headerRow"/>
      <tableStyleElement dxfId="2" type="firstRowStripe"/>
      <tableStyleElement dxfId="3" type="secondRowStripe"/>
    </tableStyle>
    <tableStyle count="3" pivot="0" name="Self Bucket-style 2">
      <tableStyleElement dxfId="1" type="headerRow"/>
      <tableStyleElement dxfId="2" type="firstRowStripe"/>
      <tableStyleElement dxfId="3" type="secondRowStripe"/>
    </tableStyle>
    <tableStyle count="4" pivot="0" name="Drops-style">
      <tableStyleElement dxfId="4" type="headerRow"/>
      <tableStyleElement dxfId="2" type="firstRowStripe"/>
      <tableStyleElement dxfId="3" type="secondRowStripe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7" displayName="Buckets" name="Buckets" id="1">
  <tableColumns count="4">
    <tableColumn name="Bucket" id="1"/>
    <tableColumn name="Ratio" id="2"/>
    <tableColumn name="Current Allocation" id="3"/>
    <tableColumn name="Goal" id="4"/>
  </tableColumns>
  <tableStyleInfo name="Buckets-style" showColumnStripes="0" showFirstColumn="1" showLastColumn="1" showRowStripes="1"/>
</table>
</file>

<file path=xl/tables/table2.xml><?xml version="1.0" encoding="utf-8"?>
<table xmlns="http://schemas.openxmlformats.org/spreadsheetml/2006/main" ref="F1:H2" displayName="Bucket_Totals" name="Bucket_Totals" id="2">
  <tableColumns count="3">
    <tableColumn name="Total Income" id="1"/>
    <tableColumn name="Total Expenses" id="2"/>
    <tableColumn name="Current Income" id="3"/>
  </tableColumns>
  <tableStyleInfo name="Buckets-style 2" showColumnStripes="0" showFirstColumn="1" showLastColumn="1" showRowStripes="1"/>
</table>
</file>

<file path=xl/tables/table3.xml><?xml version="1.0" encoding="utf-8"?>
<table xmlns="http://schemas.openxmlformats.org/spreadsheetml/2006/main" ref="J1:M7" displayName="Self_Bucket" name="Self_Bucket" id="3">
  <tableColumns count="4">
    <tableColumn name="Bucket" id="1"/>
    <tableColumn name="Ratio" id="2"/>
    <tableColumn name="Current Allocation" id="3"/>
    <tableColumn name="Expenses" id="4"/>
  </tableColumns>
  <tableStyleInfo name="Buckets-style 3" showColumnStripes="0" showFirstColumn="1" showLastColumn="1" showRowStripes="1"/>
</table>
</file>

<file path=xl/tables/table4.xml><?xml version="1.0" encoding="utf-8"?>
<table xmlns="http://schemas.openxmlformats.org/spreadsheetml/2006/main" ref="O1:P2" displayName="Self_Bucket_Totals" name="Self_Bucket_Totals" id="4">
  <tableColumns count="2">
    <tableColumn name="Total Income" id="1"/>
    <tableColumn name="Total Expenses" id="2"/>
  </tableColumns>
  <tableStyleInfo name="Buckets-style 4" showColumnStripes="0" showFirstColumn="1" showLastColumn="1" showRowStripes="1"/>
</table>
</file>

<file path=xl/tables/table5.xml><?xml version="1.0" encoding="utf-8"?>
<table xmlns="http://schemas.openxmlformats.org/spreadsheetml/2006/main" ref="A1:D7" displayName="Table1" name="Table1" id="5">
  <tableColumns count="4">
    <tableColumn name="Bucket" id="1"/>
    <tableColumn name="Ratio" id="2"/>
    <tableColumn name="Current Allocation" id="3"/>
    <tableColumn name="Expenses" id="4"/>
  </tableColumns>
  <tableStyleInfo name="Self Bucket-style" showColumnStripes="0" showFirstColumn="1" showLastColumn="1" showRowStripes="1"/>
</table>
</file>

<file path=xl/tables/table6.xml><?xml version="1.0" encoding="utf-8"?>
<table xmlns="http://schemas.openxmlformats.org/spreadsheetml/2006/main" ref="F1:G2" displayName="Table2" name="Table2" id="6">
  <tableColumns count="2">
    <tableColumn name="Total Income" id="1"/>
    <tableColumn name="Total Expenses" id="2"/>
  </tableColumns>
  <tableStyleInfo name="Self Bucket-style 2" showColumnStripes="0" showFirstColumn="1" showLastColumn="1" showRowStripes="1"/>
</table>
</file>

<file path=xl/tables/table7.xml><?xml version="1.0" encoding="utf-8"?>
<table xmlns="http://schemas.openxmlformats.org/spreadsheetml/2006/main" ref="A1:E37" displayName="Drops" name="Drops" id="7">
  <tableColumns count="5">
    <tableColumn name="Item name" id="1"/>
    <tableColumn name="Type" id="2"/>
    <tableColumn name="Price" id="3"/>
    <tableColumn name="Date" id="4"/>
    <tableColumn name="Card" id="5"/>
  </tableColumns>
  <tableStyleInfo name="Drop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C4587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22.63"/>
    <col customWidth="1" min="6" max="6" width="21.38"/>
    <col customWidth="1" min="7" max="7" width="23.0"/>
    <col customWidth="1" min="8" max="8" width="20.25"/>
    <col customWidth="1" min="12" max="12" width="22.5"/>
    <col customWidth="1" min="13" max="13" width="18.0"/>
    <col customWidth="1" min="15" max="15" width="19.5"/>
    <col customWidth="1" min="16" max="16" width="21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F1" s="1" t="s">
        <v>4</v>
      </c>
      <c r="G1" s="2" t="s">
        <v>5</v>
      </c>
      <c r="H1" s="4" t="s">
        <v>6</v>
      </c>
      <c r="J1" s="1" t="s">
        <v>0</v>
      </c>
      <c r="K1" s="2" t="s">
        <v>1</v>
      </c>
      <c r="L1" s="2" t="s">
        <v>2</v>
      </c>
      <c r="M1" s="3" t="s">
        <v>7</v>
      </c>
      <c r="O1" s="1" t="s">
        <v>4</v>
      </c>
      <c r="P1" s="3" t="s">
        <v>5</v>
      </c>
    </row>
    <row r="2">
      <c r="A2" s="5" t="s">
        <v>8</v>
      </c>
      <c r="B2" s="6">
        <v>0.5</v>
      </c>
      <c r="C2" s="7">
        <f>IF(C1 &gt;= D1, C1, Bucket_Totals[Total Income] * B2)  + SUMIF(Drops!B1:B7, "Student Loan", Drops!C1:C7)</f>
        <v>710.25</v>
      </c>
      <c r="D2" s="8">
        <f>35000 + SUMIF(Drops!B1:B7, "Student Loan", Drops!C1:C7)</f>
        <v>35000</v>
      </c>
      <c r="F2" s="9">
        <f>SUMIF(Drops!B2:B7, "Income", Drops!C2:C7)</f>
        <v>1420.5</v>
      </c>
      <c r="G2" s="10">
        <f>SUMIF(Drops!B2:B7, "&lt;&gt;Income", Drops!C2:C7)</f>
        <v>-1361.09</v>
      </c>
      <c r="H2" s="11">
        <f>SUM(F2,G2)</f>
        <v>59.41</v>
      </c>
      <c r="J2" s="5" t="s">
        <v>9</v>
      </c>
      <c r="K2" s="12">
        <v>0.08</v>
      </c>
      <c r="L2" s="7">
        <f>((F2* B5) * K2) + SUMIF(Drops!B1:B7, "Subscription", Drops!C1:C7)</f>
        <v>-122.622</v>
      </c>
      <c r="M2" s="8">
        <f>SUMIF(Drops!B1:B7, "Subscription", Drops!C1:C7)</f>
        <v>-145.35</v>
      </c>
      <c r="O2" s="9">
        <f>(Bucket_Totals[Total Income] * 0.1)</f>
        <v>142.05</v>
      </c>
      <c r="P2" s="13">
        <f>SUM(M1:M7)</f>
        <v>-1361.09</v>
      </c>
    </row>
    <row r="3">
      <c r="A3" s="14" t="s">
        <v>10</v>
      </c>
      <c r="B3" s="15">
        <v>0.2</v>
      </c>
      <c r="C3" s="16">
        <f>IF(C2 &gt;= D2, C2, Bucket_Totals[Total Income] * B3)</f>
        <v>284.1</v>
      </c>
      <c r="D3" s="17">
        <v>20000.0</v>
      </c>
      <c r="J3" s="14" t="s">
        <v>11</v>
      </c>
      <c r="K3" s="18">
        <v>0.5</v>
      </c>
      <c r="L3" s="16">
        <f>((F2* B5) * K3) + SUMIF(Drops!B1:B7, "Travel", Drops!C1:C7)</f>
        <v>-467.01</v>
      </c>
      <c r="M3" s="17">
        <f>SUMIF(Drops!B1:B7, "Travel", Drops!C1:C7)</f>
        <v>-609.06</v>
      </c>
    </row>
    <row r="4">
      <c r="A4" s="5" t="s">
        <v>12</v>
      </c>
      <c r="B4" s="6">
        <v>0.1</v>
      </c>
      <c r="C4" s="7">
        <f>Bucket_Totals[Total Income] * 0.1</f>
        <v>142.05</v>
      </c>
      <c r="D4" s="8"/>
      <c r="J4" s="5" t="s">
        <v>13</v>
      </c>
      <c r="K4" s="12">
        <v>0.12</v>
      </c>
      <c r="L4" s="7">
        <f>(F2 * B5 * K4) + SUMIF(Drops!B1:B7, "Food",Drops!C1:C7)</f>
        <v>-194.788</v>
      </c>
      <c r="M4" s="8">
        <f>SUMIF(Drops!B1:B7, "Food", Drops!C1:C7)</f>
        <v>-228.88</v>
      </c>
    </row>
    <row r="5">
      <c r="A5" s="14" t="s">
        <v>14</v>
      </c>
      <c r="B5" s="15">
        <v>0.2</v>
      </c>
      <c r="C5" s="16">
        <f>(Bucket_Totals[Total Income] * 0.15) + SUM(M2:M7)</f>
        <v>-1148.015</v>
      </c>
      <c r="D5" s="17"/>
      <c r="J5" s="14" t="s">
        <v>15</v>
      </c>
      <c r="K5" s="18">
        <v>0.1</v>
      </c>
      <c r="L5" s="16">
        <f>(F2 * B5 * K5) + SUMIF(Drops!B1:B7, "Enterntainment", Drops!C1:C7)</f>
        <v>28.41</v>
      </c>
      <c r="M5" s="17">
        <f>SUMIF(Drops!B1:B7, "Enterntainment", Drops!C1:C7)</f>
        <v>0</v>
      </c>
    </row>
    <row r="6">
      <c r="A6" s="5"/>
      <c r="B6" s="19"/>
      <c r="C6" s="7"/>
      <c r="D6" s="8"/>
      <c r="J6" s="5" t="s">
        <v>16</v>
      </c>
      <c r="K6" s="12">
        <v>0.08</v>
      </c>
      <c r="L6" s="7">
        <f>(F2 * B5 * K6) + SUMIF(Drops!B1:B7, "Clothes", Drops!C1:C7)</f>
        <v>22.728</v>
      </c>
      <c r="M6" s="8">
        <f>SUMIF(Drops!B1:B7, "Clothes", Drops!C1:C7)</f>
        <v>0</v>
      </c>
    </row>
    <row r="7">
      <c r="A7" s="20"/>
      <c r="B7" s="21"/>
      <c r="C7" s="22"/>
      <c r="D7" s="23"/>
      <c r="J7" s="20" t="s">
        <v>17</v>
      </c>
      <c r="K7" s="24">
        <v>0.12</v>
      </c>
      <c r="L7" s="22">
        <f>(F2 * B5 * K7) + SUMIF(Drops!B1:B7, "Misc", Drops!C1:C7)</f>
        <v>-343.708</v>
      </c>
      <c r="M7" s="23">
        <f>SUMIF(Drops!B2:B7, "Misc", Drops!C2:C7)</f>
        <v>-377.8</v>
      </c>
    </row>
  </sheetData>
  <dataValidations>
    <dataValidation type="custom" allowBlank="1" showDropDown="1" sqref="F2:H2 O2:P2 K2:M7 B2:D7">
      <formula1>AND(ISNUMBER(B2),(NOT(OR(NOT(ISERROR(DATEVALUE(B2))), AND(ISNUMBER(B2), LEFT(CELL("format", B2))="D")))))</formula1>
    </dataValidation>
    <dataValidation allowBlank="1" showDropDown="1" sqref="J2:J7 A2:A7"/>
  </dataValidations>
  <drawing r:id="rId1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A7D6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63"/>
    <col customWidth="1" min="3" max="3" width="26.38"/>
    <col customWidth="1" min="6" max="6" width="20.88"/>
    <col customWidth="1" min="7" max="7" width="22.88"/>
  </cols>
  <sheetData>
    <row r="1">
      <c r="A1" s="25" t="s">
        <v>0</v>
      </c>
      <c r="B1" s="26" t="s">
        <v>1</v>
      </c>
      <c r="C1" s="26" t="s">
        <v>2</v>
      </c>
      <c r="D1" s="27" t="s">
        <v>7</v>
      </c>
      <c r="E1" s="28"/>
      <c r="F1" s="25" t="s">
        <v>4</v>
      </c>
      <c r="G1" s="27" t="s">
        <v>5</v>
      </c>
    </row>
    <row r="2">
      <c r="A2" s="29" t="s">
        <v>9</v>
      </c>
      <c r="B2" s="19">
        <v>0.08</v>
      </c>
      <c r="C2" s="7" t="str">
        <f>((#REF!* #REF!) * B2) + SUMIF(#REF!, "Subscription", #REF!)</f>
        <v>#REF!</v>
      </c>
      <c r="D2" s="8" t="str">
        <f>SUMIF(#REF!, "Subscription", #REF!)</f>
        <v>#N/A</v>
      </c>
      <c r="E2" s="28"/>
      <c r="F2" s="30" t="str">
        <f>('Self Bucket'!$F$2 * 0.1)</f>
        <v>#REF!</v>
      </c>
      <c r="G2" s="31" t="str">
        <f>SUM(D1:D7)</f>
        <v>#N/A</v>
      </c>
    </row>
    <row r="3">
      <c r="A3" s="32" t="s">
        <v>11</v>
      </c>
      <c r="B3" s="33">
        <v>0.5</v>
      </c>
      <c r="C3" s="16" t="str">
        <f>((#REF!* #REF!) * B3) + SUMIF(#REF!, "Travel", #REF!)</f>
        <v>#REF!</v>
      </c>
      <c r="D3" s="17" t="str">
        <f>SUMIF(#REF!, "Travel", #REF!)</f>
        <v>#N/A</v>
      </c>
      <c r="E3" s="28"/>
      <c r="F3" s="28"/>
      <c r="G3" s="28"/>
    </row>
    <row r="4">
      <c r="A4" s="29" t="s">
        <v>13</v>
      </c>
      <c r="B4" s="19">
        <v>0.12</v>
      </c>
      <c r="C4" s="7" t="str">
        <f>(#REF! * #REF! * B4) + SUMIF(#REF!, "Food",#REF!)</f>
        <v>#REF!</v>
      </c>
      <c r="D4" s="8" t="str">
        <f>SUMIF(#REF!, "Food", #REF!)</f>
        <v>#N/A</v>
      </c>
      <c r="E4" s="28"/>
      <c r="F4" s="28"/>
      <c r="G4" s="28"/>
    </row>
    <row r="5">
      <c r="A5" s="32" t="s">
        <v>15</v>
      </c>
      <c r="B5" s="33">
        <v>0.1</v>
      </c>
      <c r="C5" s="16" t="str">
        <f>(#REF! * #REF! * B5) + SUMIF(#REF!, "Enterntainment", #REF!)</f>
        <v>#REF!</v>
      </c>
      <c r="D5" s="17" t="str">
        <f>SUMIF(#REF!, "Enterntainment", #REF!)</f>
        <v>#N/A</v>
      </c>
      <c r="E5" s="28"/>
      <c r="F5" s="28"/>
      <c r="G5" s="28"/>
    </row>
    <row r="6">
      <c r="A6" s="29" t="s">
        <v>16</v>
      </c>
      <c r="B6" s="19">
        <v>0.1</v>
      </c>
      <c r="C6" s="7" t="str">
        <f>(#REF! * #REF! * B6) + SUMIF(#REF!, "Clothes", #REF!)</f>
        <v>#REF!</v>
      </c>
      <c r="D6" s="8" t="str">
        <f>SUMIF(#REF!, "Clothes", #REF!)</f>
        <v>#N/A</v>
      </c>
      <c r="E6" s="28"/>
      <c r="F6" s="28"/>
      <c r="G6" s="28"/>
    </row>
    <row r="7">
      <c r="A7" s="34" t="s">
        <v>17</v>
      </c>
      <c r="B7" s="21">
        <v>0.1</v>
      </c>
      <c r="C7" s="22" t="str">
        <f>(#REF! * #REF! * B7) + SUMIF(#REF!, "Misc", #REF!)</f>
        <v>#REF!</v>
      </c>
      <c r="D7" s="23" t="str">
        <f>SUMIF(#REF!, "Misc", #REF!)</f>
        <v>#N/A</v>
      </c>
      <c r="E7" s="28"/>
      <c r="F7" s="28"/>
      <c r="G7" s="28"/>
    </row>
  </sheetData>
  <dataValidations>
    <dataValidation type="custom" allowBlank="1" showDropDown="1" sqref="F2:G2 B2:D7">
      <formula1>AND(ISNUMBER(B2),(NOT(OR(NOT(ISERROR(DATEVALUE(B2))), AND(ISNUMBER(B2), LEFT(CELL("format", B2))="D")))))</formula1>
    </dataValidation>
    <dataValidation allowBlank="1" showDropDown="1" sqref="A2:A7"/>
  </dataValidation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27.63"/>
    <col customWidth="1" min="3" max="5" width="15.13"/>
    <col customWidth="1" min="6" max="6" width="25.13"/>
    <col customWidth="1" min="7" max="7" width="20.13"/>
    <col customWidth="1" min="8" max="8" width="15.88"/>
  </cols>
  <sheetData>
    <row r="1">
      <c r="A1" s="35" t="s">
        <v>18</v>
      </c>
      <c r="B1" s="36" t="s">
        <v>19</v>
      </c>
      <c r="C1" s="36" t="s">
        <v>20</v>
      </c>
      <c r="D1" s="37" t="s">
        <v>21</v>
      </c>
      <c r="E1" s="38" t="s">
        <v>22</v>
      </c>
    </row>
    <row r="2">
      <c r="A2" s="39" t="s">
        <v>23</v>
      </c>
      <c r="B2" s="40" t="s">
        <v>24</v>
      </c>
      <c r="C2" s="41">
        <v>-5.99</v>
      </c>
      <c r="D2" s="42">
        <v>45840.0</v>
      </c>
      <c r="E2" s="43" t="s">
        <v>25</v>
      </c>
    </row>
    <row r="3">
      <c r="A3" s="44" t="s">
        <v>26</v>
      </c>
      <c r="B3" s="45" t="s">
        <v>13</v>
      </c>
      <c r="C3" s="46">
        <v>-22.5</v>
      </c>
      <c r="D3" s="47">
        <v>45834.0</v>
      </c>
      <c r="E3" s="48" t="s">
        <v>25</v>
      </c>
    </row>
    <row r="4">
      <c r="A4" s="39" t="s">
        <v>27</v>
      </c>
      <c r="B4" s="40" t="s">
        <v>24</v>
      </c>
      <c r="C4" s="41">
        <v>-11.99</v>
      </c>
      <c r="D4" s="42">
        <v>45833.0</v>
      </c>
      <c r="E4" s="43" t="s">
        <v>25</v>
      </c>
    </row>
    <row r="5">
      <c r="A5" s="44" t="s">
        <v>28</v>
      </c>
      <c r="B5" s="45" t="s">
        <v>11</v>
      </c>
      <c r="C5" s="46">
        <v>-297.56</v>
      </c>
      <c r="D5" s="47">
        <v>45832.0</v>
      </c>
      <c r="E5" s="48" t="s">
        <v>25</v>
      </c>
    </row>
    <row r="6">
      <c r="A6" s="39" t="s">
        <v>29</v>
      </c>
      <c r="B6" s="40" t="s">
        <v>11</v>
      </c>
      <c r="C6" s="41">
        <v>-85.9</v>
      </c>
      <c r="D6" s="42">
        <v>45831.0</v>
      </c>
      <c r="E6" s="43" t="s">
        <v>25</v>
      </c>
    </row>
    <row r="7">
      <c r="A7" s="44" t="s">
        <v>30</v>
      </c>
      <c r="B7" s="45" t="s">
        <v>11</v>
      </c>
      <c r="C7" s="46">
        <v>-37.1</v>
      </c>
      <c r="D7" s="47">
        <v>45831.0</v>
      </c>
      <c r="E7" s="48" t="s">
        <v>25</v>
      </c>
    </row>
    <row r="8">
      <c r="A8" s="39" t="s">
        <v>31</v>
      </c>
      <c r="B8" s="40" t="s">
        <v>13</v>
      </c>
      <c r="C8" s="41">
        <v>-15.93</v>
      </c>
      <c r="D8" s="42">
        <v>45831.0</v>
      </c>
      <c r="E8" s="43" t="s">
        <v>25</v>
      </c>
    </row>
    <row r="9">
      <c r="A9" s="44" t="s">
        <v>32</v>
      </c>
      <c r="B9" s="45" t="s">
        <v>11</v>
      </c>
      <c r="C9" s="46">
        <v>-29.42</v>
      </c>
      <c r="D9" s="47">
        <v>45829.0</v>
      </c>
      <c r="E9" s="48" t="s">
        <v>25</v>
      </c>
    </row>
    <row r="10">
      <c r="A10" s="39" t="s">
        <v>26</v>
      </c>
      <c r="B10" s="40" t="s">
        <v>13</v>
      </c>
      <c r="C10" s="41">
        <v>-31.25</v>
      </c>
      <c r="D10" s="42">
        <v>45827.0</v>
      </c>
      <c r="E10" s="43" t="s">
        <v>25</v>
      </c>
    </row>
    <row r="11">
      <c r="A11" s="44" t="s">
        <v>33</v>
      </c>
      <c r="B11" s="45" t="s">
        <v>17</v>
      </c>
      <c r="C11" s="46">
        <v>-240.91</v>
      </c>
      <c r="D11" s="47">
        <v>45823.0</v>
      </c>
      <c r="E11" s="48" t="s">
        <v>25</v>
      </c>
    </row>
    <row r="12">
      <c r="A12" s="39" t="s">
        <v>32</v>
      </c>
      <c r="B12" s="40" t="s">
        <v>11</v>
      </c>
      <c r="C12" s="41">
        <v>-25.45</v>
      </c>
      <c r="D12" s="42">
        <v>45822.0</v>
      </c>
      <c r="E12" s="43" t="s">
        <v>25</v>
      </c>
    </row>
    <row r="13">
      <c r="A13" s="44" t="s">
        <v>34</v>
      </c>
      <c r="B13" s="45" t="s">
        <v>11</v>
      </c>
      <c r="C13" s="46">
        <v>-38.56</v>
      </c>
      <c r="D13" s="47">
        <v>45822.0</v>
      </c>
      <c r="E13" s="48" t="s">
        <v>25</v>
      </c>
    </row>
    <row r="14">
      <c r="A14" s="39" t="s">
        <v>26</v>
      </c>
      <c r="B14" s="40" t="s">
        <v>13</v>
      </c>
      <c r="C14" s="41">
        <v>-28.74</v>
      </c>
      <c r="D14" s="42">
        <v>45822.0</v>
      </c>
      <c r="E14" s="43" t="s">
        <v>25</v>
      </c>
    </row>
    <row r="15">
      <c r="A15" s="44" t="s">
        <v>35</v>
      </c>
      <c r="B15" s="45" t="s">
        <v>11</v>
      </c>
      <c r="C15" s="46">
        <v>1.0</v>
      </c>
      <c r="D15" s="47">
        <v>45822.0</v>
      </c>
      <c r="E15" s="48" t="s">
        <v>25</v>
      </c>
    </row>
    <row r="16">
      <c r="A16" s="39" t="s">
        <v>36</v>
      </c>
      <c r="B16" s="40" t="s">
        <v>13</v>
      </c>
      <c r="C16" s="41">
        <v>-31.89</v>
      </c>
      <c r="D16" s="42">
        <v>45821.0</v>
      </c>
      <c r="E16" s="43" t="s">
        <v>37</v>
      </c>
    </row>
    <row r="17">
      <c r="A17" s="44" t="s">
        <v>38</v>
      </c>
      <c r="B17" s="45" t="s">
        <v>13</v>
      </c>
      <c r="C17" s="46">
        <v>-27.0</v>
      </c>
      <c r="D17" s="47">
        <v>45821.0</v>
      </c>
      <c r="E17" s="48" t="s">
        <v>25</v>
      </c>
    </row>
    <row r="18">
      <c r="A18" s="39" t="s">
        <v>39</v>
      </c>
      <c r="B18" s="40" t="s">
        <v>17</v>
      </c>
      <c r="C18" s="41">
        <v>-58.47</v>
      </c>
      <c r="D18" s="42">
        <v>45820.0</v>
      </c>
      <c r="E18" s="43" t="s">
        <v>25</v>
      </c>
    </row>
    <row r="19">
      <c r="A19" s="44" t="s">
        <v>40</v>
      </c>
      <c r="B19" s="45" t="s">
        <v>13</v>
      </c>
      <c r="C19" s="46">
        <v>-7.41</v>
      </c>
      <c r="D19" s="47">
        <v>45818.0</v>
      </c>
      <c r="E19" s="48" t="s">
        <v>37</v>
      </c>
    </row>
    <row r="20">
      <c r="A20" s="39" t="s">
        <v>41</v>
      </c>
      <c r="B20" s="49" t="s">
        <v>13</v>
      </c>
      <c r="C20" s="41">
        <v>12.46</v>
      </c>
      <c r="D20" s="42">
        <v>45818.0</v>
      </c>
      <c r="E20" s="50" t="s">
        <v>37</v>
      </c>
    </row>
    <row r="21">
      <c r="A21" s="44" t="s">
        <v>42</v>
      </c>
      <c r="B21" s="45" t="s">
        <v>13</v>
      </c>
      <c r="C21" s="46">
        <v>-16.31</v>
      </c>
      <c r="D21" s="47">
        <v>45817.0</v>
      </c>
      <c r="E21" s="48" t="s">
        <v>25</v>
      </c>
    </row>
    <row r="22">
      <c r="A22" s="39" t="s">
        <v>43</v>
      </c>
      <c r="B22" s="40" t="s">
        <v>17</v>
      </c>
      <c r="C22" s="41">
        <v>-53.5</v>
      </c>
      <c r="D22" s="42">
        <v>45817.0</v>
      </c>
      <c r="E22" s="43" t="s">
        <v>25</v>
      </c>
    </row>
    <row r="23">
      <c r="A23" s="44" t="s">
        <v>44</v>
      </c>
      <c r="B23" s="45" t="s">
        <v>11</v>
      </c>
      <c r="C23" s="46">
        <v>-14.86</v>
      </c>
      <c r="D23" s="47">
        <v>45816.0</v>
      </c>
      <c r="E23" s="48" t="s">
        <v>25</v>
      </c>
    </row>
    <row r="24">
      <c r="A24" s="39" t="s">
        <v>45</v>
      </c>
      <c r="B24" s="40" t="s">
        <v>13</v>
      </c>
      <c r="C24" s="41">
        <v>-30.0</v>
      </c>
      <c r="D24" s="42">
        <v>45816.0</v>
      </c>
      <c r="E24" s="43" t="s">
        <v>25</v>
      </c>
    </row>
    <row r="25">
      <c r="A25" s="44" t="s">
        <v>46</v>
      </c>
      <c r="B25" s="45" t="s">
        <v>24</v>
      </c>
      <c r="C25" s="46">
        <v>-7.49</v>
      </c>
      <c r="D25" s="47">
        <v>45816.0</v>
      </c>
      <c r="E25" s="48" t="s">
        <v>25</v>
      </c>
    </row>
    <row r="26">
      <c r="A26" s="39" t="s">
        <v>47</v>
      </c>
      <c r="B26" s="40" t="s">
        <v>13</v>
      </c>
      <c r="C26" s="41">
        <v>-29.3</v>
      </c>
      <c r="D26" s="42">
        <v>45816.0</v>
      </c>
      <c r="E26" s="43" t="s">
        <v>37</v>
      </c>
    </row>
    <row r="27">
      <c r="A27" s="44" t="s">
        <v>48</v>
      </c>
      <c r="B27" s="45" t="s">
        <v>49</v>
      </c>
      <c r="C27" s="46">
        <v>340.0</v>
      </c>
      <c r="D27" s="47">
        <v>45814.0</v>
      </c>
      <c r="E27" s="48" t="s">
        <v>50</v>
      </c>
    </row>
    <row r="28">
      <c r="A28" s="39" t="s">
        <v>51</v>
      </c>
      <c r="B28" s="40" t="s">
        <v>24</v>
      </c>
      <c r="C28" s="41">
        <v>-119.88</v>
      </c>
      <c r="D28" s="42">
        <v>45814.0</v>
      </c>
      <c r="E28" s="43" t="s">
        <v>25</v>
      </c>
    </row>
    <row r="29">
      <c r="A29" s="44" t="s">
        <v>52</v>
      </c>
      <c r="B29" s="45" t="s">
        <v>13</v>
      </c>
      <c r="C29" s="46">
        <v>-1.01</v>
      </c>
      <c r="D29" s="47">
        <v>45814.0</v>
      </c>
      <c r="E29" s="48" t="s">
        <v>25</v>
      </c>
    </row>
    <row r="30">
      <c r="A30" s="39" t="s">
        <v>53</v>
      </c>
      <c r="B30" s="40" t="s">
        <v>49</v>
      </c>
      <c r="C30" s="41">
        <v>50.0</v>
      </c>
      <c r="D30" s="42">
        <v>45814.0</v>
      </c>
      <c r="E30" s="43" t="s">
        <v>25</v>
      </c>
    </row>
    <row r="31">
      <c r="A31" s="44" t="s">
        <v>32</v>
      </c>
      <c r="B31" s="45" t="s">
        <v>11</v>
      </c>
      <c r="C31" s="46">
        <v>-23.44</v>
      </c>
      <c r="D31" s="47">
        <v>45811.0</v>
      </c>
      <c r="E31" s="48" t="s">
        <v>25</v>
      </c>
    </row>
    <row r="32">
      <c r="A32" s="39" t="s">
        <v>35</v>
      </c>
      <c r="B32" s="40" t="s">
        <v>11</v>
      </c>
      <c r="C32" s="41">
        <v>-20.0</v>
      </c>
      <c r="D32" s="42">
        <v>45811.0</v>
      </c>
      <c r="E32" s="43" t="s">
        <v>25</v>
      </c>
    </row>
    <row r="33">
      <c r="A33" s="44" t="s">
        <v>54</v>
      </c>
      <c r="B33" s="45" t="s">
        <v>49</v>
      </c>
      <c r="C33" s="46">
        <v>205.35</v>
      </c>
      <c r="D33" s="47">
        <v>45809.0</v>
      </c>
      <c r="E33" s="48" t="s">
        <v>25</v>
      </c>
    </row>
    <row r="34">
      <c r="A34" s="39" t="s">
        <v>55</v>
      </c>
      <c r="B34" s="40" t="s">
        <v>49</v>
      </c>
      <c r="C34" s="41">
        <v>825.15</v>
      </c>
      <c r="D34" s="42">
        <v>45809.0</v>
      </c>
      <c r="E34" s="43" t="s">
        <v>50</v>
      </c>
    </row>
    <row r="35">
      <c r="A35" s="51" t="s">
        <v>56</v>
      </c>
      <c r="B35" s="52" t="s">
        <v>17</v>
      </c>
      <c r="C35" s="53">
        <v>-24.92</v>
      </c>
      <c r="D35" s="54">
        <v>45809.0</v>
      </c>
      <c r="E35" s="55" t="s">
        <v>25</v>
      </c>
    </row>
    <row r="36">
      <c r="A36" s="39" t="s">
        <v>30</v>
      </c>
      <c r="B36" s="40" t="s">
        <v>11</v>
      </c>
      <c r="C36" s="41">
        <v>-37.77</v>
      </c>
      <c r="D36" s="42">
        <v>45809.0</v>
      </c>
      <c r="E36" s="43" t="s">
        <v>25</v>
      </c>
    </row>
    <row r="37">
      <c r="A37" s="56"/>
      <c r="B37" s="57"/>
      <c r="C37" s="57"/>
      <c r="D37" s="57"/>
      <c r="E37" s="58"/>
    </row>
  </sheetData>
  <dataValidations>
    <dataValidation type="custom" allowBlank="1" showDropDown="1" sqref="C2:C36">
      <formula1>AND(ISNUMBER(C2),(NOT(OR(NOT(ISERROR(DATEVALUE(C2))), AND(ISNUMBER(C2), LEFT(CELL("format", C2))="D")))))</formula1>
    </dataValidation>
    <dataValidation type="custom" allowBlank="1" showDropDown="1" sqref="D2:D36">
      <formula1>OR(NOT(ISERROR(DATEVALUE(D2))), AND(ISNUMBER(D2), LEFT(CELL("format", D2))="D"))</formula1>
    </dataValidation>
    <dataValidation allowBlank="1" showDropDown="1" sqref="A2:A36"/>
    <dataValidation type="list" allowBlank="1" sqref="B2:B36">
      <formula1>"Income,Travel,Food,Subscription,Student Loan,Enterntainment,Clothes,Misc"</formula1>
    </dataValidation>
    <dataValidation type="list" allowBlank="1" sqref="E2:E36">
      <formula1>"Debit,Credit,Savings"</formula1>
    </dataValidation>
  </dataValidations>
  <drawing r:id="rId1"/>
  <tableParts count="1">
    <tablePart r:id="rId3"/>
  </tableParts>
</worksheet>
</file>