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yuc\git\barista-assistant-bot\src\mkryuchkov.BaristaBot.Data\doc\"/>
    </mc:Choice>
  </mc:AlternateContent>
  <xr:revisionPtr revIDLastSave="0" documentId="8_{7DD9D04E-B9B3-4D6B-B15E-490D3A0B0DB2}" xr6:coauthVersionLast="47" xr6:coauthVersionMax="47" xr10:uidLastSave="{00000000-0000-0000-0000-000000000000}"/>
  <bookViews>
    <workbookView xWindow="-96" yWindow="876" windowWidth="27696" windowHeight="15240" xr2:uid="{0A379D64-9E62-F046-ADC4-A9A4803AB604}"/>
  </bookViews>
  <sheets>
    <sheet name="Commandante C40" sheetId="4" r:id="rId1"/>
    <sheet name="Ditting 807" sheetId="5" r:id="rId2"/>
    <sheet name="Niche Zero" sheetId="6" r:id="rId3"/>
    <sheet name="Mahlkönig Tanzania" sheetId="8" r:id="rId4"/>
    <sheet name="Mahlkönig EK43 (turkish)" sheetId="9" r:id="rId5"/>
    <sheet name="From paper" sheetId="1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9" l="1"/>
  <c r="E32" i="9"/>
  <c r="D32" i="9"/>
  <c r="C32" i="9"/>
  <c r="B32" i="9"/>
  <c r="F31" i="9"/>
  <c r="E31" i="9"/>
  <c r="D31" i="9"/>
  <c r="C31" i="9"/>
  <c r="F30" i="9"/>
  <c r="E30" i="9"/>
  <c r="D30" i="9"/>
  <c r="C30" i="9"/>
  <c r="B30" i="9"/>
  <c r="F29" i="9"/>
  <c r="E29" i="9"/>
  <c r="D29" i="9"/>
  <c r="C29" i="9"/>
  <c r="F28" i="9"/>
  <c r="E28" i="9"/>
  <c r="D28" i="9"/>
  <c r="C28" i="9"/>
  <c r="F27" i="9"/>
  <c r="E27" i="9"/>
  <c r="D27" i="9"/>
  <c r="C27" i="9"/>
  <c r="F26" i="9"/>
  <c r="E26" i="9"/>
  <c r="D26" i="9"/>
  <c r="C26" i="9"/>
  <c r="F25" i="9"/>
  <c r="E25" i="9"/>
  <c r="D25" i="9"/>
  <c r="C25" i="9"/>
  <c r="F24" i="9"/>
  <c r="E24" i="9"/>
  <c r="D24" i="9"/>
  <c r="C24" i="9"/>
  <c r="B24" i="9"/>
  <c r="F23" i="9"/>
  <c r="E23" i="9"/>
  <c r="D23" i="9"/>
  <c r="C23" i="9"/>
  <c r="F22" i="9"/>
  <c r="E22" i="9"/>
  <c r="D22" i="9"/>
  <c r="C22" i="9"/>
  <c r="B22" i="9" s="1"/>
  <c r="F21" i="9"/>
  <c r="B21" i="9" s="1"/>
  <c r="E21" i="9"/>
  <c r="D21" i="9"/>
  <c r="C21" i="9"/>
  <c r="F20" i="9"/>
  <c r="E20" i="9"/>
  <c r="D20" i="9"/>
  <c r="C20" i="9"/>
  <c r="F19" i="9"/>
  <c r="E19" i="9"/>
  <c r="D19" i="9"/>
  <c r="C19" i="9"/>
  <c r="B19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4" i="9"/>
  <c r="T5" i="9"/>
  <c r="T6" i="9"/>
  <c r="T7" i="9"/>
  <c r="S7" i="9" s="1"/>
  <c r="Y7" i="9" s="1"/>
  <c r="T8" i="9"/>
  <c r="T9" i="9"/>
  <c r="T10" i="9"/>
  <c r="T11" i="9"/>
  <c r="T12" i="9"/>
  <c r="T13" i="9"/>
  <c r="T14" i="9"/>
  <c r="T15" i="9"/>
  <c r="T16" i="9"/>
  <c r="T17" i="9"/>
  <c r="T4" i="9"/>
  <c r="S12" i="9"/>
  <c r="Y12" i="9" s="1"/>
  <c r="S8" i="9"/>
  <c r="Y8" i="9" s="1"/>
  <c r="F20" i="8"/>
  <c r="E20" i="8"/>
  <c r="D20" i="8"/>
  <c r="C20" i="8"/>
  <c r="B20" i="8"/>
  <c r="F19" i="8"/>
  <c r="E19" i="8"/>
  <c r="D19" i="8"/>
  <c r="C19" i="8"/>
  <c r="B19" i="8"/>
  <c r="F18" i="8"/>
  <c r="E18" i="8"/>
  <c r="D18" i="8"/>
  <c r="C18" i="8"/>
  <c r="B18" i="8"/>
  <c r="F17" i="8"/>
  <c r="B17" i="8" s="1"/>
  <c r="E17" i="8"/>
  <c r="D17" i="8"/>
  <c r="C17" i="8"/>
  <c r="F16" i="8"/>
  <c r="E16" i="8"/>
  <c r="D16" i="8"/>
  <c r="C16" i="8"/>
  <c r="B16" i="8"/>
  <c r="F15" i="8"/>
  <c r="E15" i="8"/>
  <c r="D15" i="8"/>
  <c r="C15" i="8"/>
  <c r="B15" i="8"/>
  <c r="F14" i="8"/>
  <c r="E14" i="8"/>
  <c r="D14" i="8"/>
  <c r="C14" i="8"/>
  <c r="F13" i="8"/>
  <c r="E13" i="8"/>
  <c r="D13" i="8"/>
  <c r="C13" i="8"/>
  <c r="B13" i="8"/>
  <c r="W5" i="8"/>
  <c r="W6" i="8"/>
  <c r="W7" i="8"/>
  <c r="W8" i="8"/>
  <c r="W9" i="8"/>
  <c r="W10" i="8"/>
  <c r="W11" i="8"/>
  <c r="W4" i="8"/>
  <c r="V5" i="8"/>
  <c r="V6" i="8"/>
  <c r="V7" i="8"/>
  <c r="V8" i="8"/>
  <c r="V9" i="8"/>
  <c r="V10" i="8"/>
  <c r="V11" i="8"/>
  <c r="V4" i="8"/>
  <c r="U5" i="8"/>
  <c r="U6" i="8"/>
  <c r="U7" i="8"/>
  <c r="U8" i="8"/>
  <c r="U9" i="8"/>
  <c r="U10" i="8"/>
  <c r="U11" i="8"/>
  <c r="U4" i="8"/>
  <c r="S4" i="8" s="1"/>
  <c r="Y4" i="8" s="1"/>
  <c r="T5" i="8"/>
  <c r="S5" i="8" s="1"/>
  <c r="Y5" i="8" s="1"/>
  <c r="T6" i="8"/>
  <c r="S6" i="8" s="1"/>
  <c r="Y6" i="8" s="1"/>
  <c r="T7" i="8"/>
  <c r="T8" i="8"/>
  <c r="T9" i="8"/>
  <c r="T10" i="8"/>
  <c r="T11" i="8"/>
  <c r="T4" i="8"/>
  <c r="S47" i="6"/>
  <c r="Y47" i="6" s="1"/>
  <c r="S48" i="6"/>
  <c r="Y48" i="6" s="1"/>
  <c r="S63" i="6"/>
  <c r="Y63" i="6" s="1"/>
  <c r="S64" i="6"/>
  <c r="Y64" i="6" s="1"/>
  <c r="S79" i="6"/>
  <c r="Y79" i="6" s="1"/>
  <c r="S80" i="6"/>
  <c r="Y80" i="6" s="1"/>
  <c r="S95" i="6"/>
  <c r="Y95" i="6" s="1"/>
  <c r="S96" i="6"/>
  <c r="Y96" i="6" s="1"/>
  <c r="S111" i="6"/>
  <c r="Y111" i="6" s="1"/>
  <c r="S112" i="6"/>
  <c r="Y112" i="6" s="1"/>
  <c r="T33" i="6"/>
  <c r="S33" i="6" s="1"/>
  <c r="Y33" i="6" s="1"/>
  <c r="T34" i="6"/>
  <c r="S34" i="6" s="1"/>
  <c r="Y34" i="6" s="1"/>
  <c r="T35" i="6"/>
  <c r="S35" i="6" s="1"/>
  <c r="Y35" i="6" s="1"/>
  <c r="T36" i="6"/>
  <c r="S36" i="6" s="1"/>
  <c r="Y36" i="6" s="1"/>
  <c r="T37" i="6"/>
  <c r="T38" i="6"/>
  <c r="T39" i="6"/>
  <c r="S39" i="6" s="1"/>
  <c r="Y39" i="6" s="1"/>
  <c r="T40" i="6"/>
  <c r="S40" i="6" s="1"/>
  <c r="Y40" i="6" s="1"/>
  <c r="T41" i="6"/>
  <c r="S41" i="6" s="1"/>
  <c r="Y41" i="6" s="1"/>
  <c r="T42" i="6"/>
  <c r="S42" i="6" s="1"/>
  <c r="Y42" i="6" s="1"/>
  <c r="T43" i="6"/>
  <c r="S43" i="6" s="1"/>
  <c r="Y43" i="6" s="1"/>
  <c r="T44" i="6"/>
  <c r="S44" i="6" s="1"/>
  <c r="Y44" i="6" s="1"/>
  <c r="T45" i="6"/>
  <c r="S45" i="6" s="1"/>
  <c r="Y45" i="6" s="1"/>
  <c r="T46" i="6"/>
  <c r="S46" i="6" s="1"/>
  <c r="Y46" i="6" s="1"/>
  <c r="T47" i="6"/>
  <c r="T48" i="6"/>
  <c r="T49" i="6"/>
  <c r="S49" i="6" s="1"/>
  <c r="Y49" i="6" s="1"/>
  <c r="T50" i="6"/>
  <c r="S50" i="6" s="1"/>
  <c r="Y50" i="6" s="1"/>
  <c r="T51" i="6"/>
  <c r="S51" i="6" s="1"/>
  <c r="Y51" i="6" s="1"/>
  <c r="T52" i="6"/>
  <c r="S52" i="6" s="1"/>
  <c r="Y52" i="6" s="1"/>
  <c r="T53" i="6"/>
  <c r="T54" i="6"/>
  <c r="T55" i="6"/>
  <c r="S55" i="6" s="1"/>
  <c r="Y55" i="6" s="1"/>
  <c r="T56" i="6"/>
  <c r="S56" i="6" s="1"/>
  <c r="Y56" i="6" s="1"/>
  <c r="T57" i="6"/>
  <c r="S57" i="6" s="1"/>
  <c r="Y57" i="6" s="1"/>
  <c r="T58" i="6"/>
  <c r="S58" i="6" s="1"/>
  <c r="Y58" i="6" s="1"/>
  <c r="T59" i="6"/>
  <c r="S59" i="6" s="1"/>
  <c r="Y59" i="6" s="1"/>
  <c r="T60" i="6"/>
  <c r="S60" i="6" s="1"/>
  <c r="Y60" i="6" s="1"/>
  <c r="T61" i="6"/>
  <c r="S61" i="6" s="1"/>
  <c r="Y61" i="6" s="1"/>
  <c r="T62" i="6"/>
  <c r="S62" i="6" s="1"/>
  <c r="Y62" i="6" s="1"/>
  <c r="T63" i="6"/>
  <c r="T64" i="6"/>
  <c r="T65" i="6"/>
  <c r="S65" i="6" s="1"/>
  <c r="Y65" i="6" s="1"/>
  <c r="T66" i="6"/>
  <c r="S66" i="6" s="1"/>
  <c r="Y66" i="6" s="1"/>
  <c r="T67" i="6"/>
  <c r="S67" i="6" s="1"/>
  <c r="Y67" i="6" s="1"/>
  <c r="T68" i="6"/>
  <c r="S68" i="6" s="1"/>
  <c r="Y68" i="6" s="1"/>
  <c r="T69" i="6"/>
  <c r="T70" i="6"/>
  <c r="T71" i="6"/>
  <c r="S71" i="6" s="1"/>
  <c r="Y71" i="6" s="1"/>
  <c r="T72" i="6"/>
  <c r="S72" i="6" s="1"/>
  <c r="Y72" i="6" s="1"/>
  <c r="T73" i="6"/>
  <c r="S73" i="6" s="1"/>
  <c r="Y73" i="6" s="1"/>
  <c r="T74" i="6"/>
  <c r="S74" i="6" s="1"/>
  <c r="Y74" i="6" s="1"/>
  <c r="T75" i="6"/>
  <c r="S75" i="6" s="1"/>
  <c r="Y75" i="6" s="1"/>
  <c r="T76" i="6"/>
  <c r="S76" i="6" s="1"/>
  <c r="Y76" i="6" s="1"/>
  <c r="T77" i="6"/>
  <c r="S77" i="6" s="1"/>
  <c r="Y77" i="6" s="1"/>
  <c r="T78" i="6"/>
  <c r="S78" i="6" s="1"/>
  <c r="Y78" i="6" s="1"/>
  <c r="T79" i="6"/>
  <c r="T80" i="6"/>
  <c r="T81" i="6"/>
  <c r="S81" i="6" s="1"/>
  <c r="Y81" i="6" s="1"/>
  <c r="T82" i="6"/>
  <c r="S82" i="6" s="1"/>
  <c r="Y82" i="6" s="1"/>
  <c r="T83" i="6"/>
  <c r="S83" i="6" s="1"/>
  <c r="Y83" i="6" s="1"/>
  <c r="T84" i="6"/>
  <c r="S84" i="6" s="1"/>
  <c r="Y84" i="6" s="1"/>
  <c r="T85" i="6"/>
  <c r="T86" i="6"/>
  <c r="T87" i="6"/>
  <c r="S87" i="6" s="1"/>
  <c r="Y87" i="6" s="1"/>
  <c r="T88" i="6"/>
  <c r="S88" i="6" s="1"/>
  <c r="Y88" i="6" s="1"/>
  <c r="T89" i="6"/>
  <c r="S89" i="6" s="1"/>
  <c r="Y89" i="6" s="1"/>
  <c r="T90" i="6"/>
  <c r="S90" i="6" s="1"/>
  <c r="Y90" i="6" s="1"/>
  <c r="T91" i="6"/>
  <c r="S91" i="6" s="1"/>
  <c r="Y91" i="6" s="1"/>
  <c r="T92" i="6"/>
  <c r="S92" i="6" s="1"/>
  <c r="Y92" i="6" s="1"/>
  <c r="T93" i="6"/>
  <c r="S93" i="6" s="1"/>
  <c r="Y93" i="6" s="1"/>
  <c r="T94" i="6"/>
  <c r="S94" i="6" s="1"/>
  <c r="Y94" i="6" s="1"/>
  <c r="T95" i="6"/>
  <c r="T96" i="6"/>
  <c r="T97" i="6"/>
  <c r="S97" i="6" s="1"/>
  <c r="Y97" i="6" s="1"/>
  <c r="T98" i="6"/>
  <c r="S98" i="6" s="1"/>
  <c r="Y98" i="6" s="1"/>
  <c r="T99" i="6"/>
  <c r="S99" i="6" s="1"/>
  <c r="Y99" i="6" s="1"/>
  <c r="T100" i="6"/>
  <c r="S100" i="6" s="1"/>
  <c r="Y100" i="6" s="1"/>
  <c r="T101" i="6"/>
  <c r="T102" i="6"/>
  <c r="T103" i="6"/>
  <c r="S103" i="6" s="1"/>
  <c r="Y103" i="6" s="1"/>
  <c r="T104" i="6"/>
  <c r="S104" i="6" s="1"/>
  <c r="Y104" i="6" s="1"/>
  <c r="T105" i="6"/>
  <c r="S105" i="6" s="1"/>
  <c r="Y105" i="6" s="1"/>
  <c r="T106" i="6"/>
  <c r="S106" i="6" s="1"/>
  <c r="Y106" i="6" s="1"/>
  <c r="T107" i="6"/>
  <c r="S107" i="6" s="1"/>
  <c r="Y107" i="6" s="1"/>
  <c r="T108" i="6"/>
  <c r="S108" i="6" s="1"/>
  <c r="Y108" i="6" s="1"/>
  <c r="T109" i="6"/>
  <c r="S109" i="6" s="1"/>
  <c r="Y109" i="6" s="1"/>
  <c r="T110" i="6"/>
  <c r="S110" i="6" s="1"/>
  <c r="Y110" i="6" s="1"/>
  <c r="T111" i="6"/>
  <c r="T112" i="6"/>
  <c r="T113" i="6"/>
  <c r="S113" i="6" s="1"/>
  <c r="Y113" i="6" s="1"/>
  <c r="T114" i="6"/>
  <c r="S114" i="6" s="1"/>
  <c r="Y114" i="6" s="1"/>
  <c r="U33" i="6"/>
  <c r="U34" i="6"/>
  <c r="U35" i="6"/>
  <c r="U36" i="6"/>
  <c r="U37" i="6"/>
  <c r="S37" i="6" s="1"/>
  <c r="Y37" i="6" s="1"/>
  <c r="U38" i="6"/>
  <c r="S38" i="6" s="1"/>
  <c r="Y38" i="6" s="1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S53" i="6" s="1"/>
  <c r="Y53" i="6" s="1"/>
  <c r="U54" i="6"/>
  <c r="S54" i="6" s="1"/>
  <c r="Y54" i="6" s="1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S69" i="6" s="1"/>
  <c r="Y69" i="6" s="1"/>
  <c r="U70" i="6"/>
  <c r="S70" i="6" s="1"/>
  <c r="Y70" i="6" s="1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S85" i="6" s="1"/>
  <c r="Y85" i="6" s="1"/>
  <c r="U86" i="6"/>
  <c r="S86" i="6" s="1"/>
  <c r="Y86" i="6" s="1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S101" i="6" s="1"/>
  <c r="Y101" i="6" s="1"/>
  <c r="U102" i="6"/>
  <c r="S102" i="6" s="1"/>
  <c r="Y102" i="6" s="1"/>
  <c r="U103" i="6"/>
  <c r="U104" i="6"/>
  <c r="U105" i="6"/>
  <c r="U106" i="6"/>
  <c r="U107" i="6"/>
  <c r="U108" i="6"/>
  <c r="U109" i="6"/>
  <c r="U110" i="6"/>
  <c r="U111" i="6"/>
  <c r="U112" i="6"/>
  <c r="U113" i="6"/>
  <c r="U114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AE5" i="6"/>
  <c r="AD5" i="6"/>
  <c r="AC5" i="6"/>
  <c r="AB5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S21" i="6" s="1"/>
  <c r="Y21" i="6" s="1"/>
  <c r="T22" i="6"/>
  <c r="S22" i="6" s="1"/>
  <c r="Y22" i="6" s="1"/>
  <c r="T23" i="6"/>
  <c r="T24" i="6"/>
  <c r="T25" i="6"/>
  <c r="T26" i="6"/>
  <c r="T27" i="6"/>
  <c r="T28" i="6"/>
  <c r="T29" i="6"/>
  <c r="T30" i="6"/>
  <c r="T31" i="6"/>
  <c r="T32" i="6"/>
  <c r="AE4" i="6"/>
  <c r="AD4" i="6"/>
  <c r="AC4" i="6"/>
  <c r="AB4" i="6"/>
  <c r="Z14" i="4"/>
  <c r="Z13" i="4"/>
  <c r="Z12" i="4"/>
  <c r="Z11" i="4"/>
  <c r="Z10" i="4"/>
  <c r="Z9" i="4"/>
  <c r="Z8" i="4"/>
  <c r="Z7" i="4"/>
  <c r="Z6" i="4"/>
  <c r="Z5" i="4"/>
  <c r="Z4" i="4"/>
  <c r="T14" i="4"/>
  <c r="T13" i="4"/>
  <c r="T12" i="4"/>
  <c r="T11" i="4"/>
  <c r="T10" i="4"/>
  <c r="T9" i="4"/>
  <c r="T8" i="4"/>
  <c r="T7" i="4"/>
  <c r="T6" i="4"/>
  <c r="T5" i="4"/>
  <c r="T4" i="4"/>
  <c r="Z5" i="5"/>
  <c r="Z6" i="5"/>
  <c r="Z7" i="5"/>
  <c r="Z8" i="5"/>
  <c r="Z9" i="5"/>
  <c r="Z10" i="5"/>
  <c r="Z11" i="5"/>
  <c r="Z12" i="5"/>
  <c r="Z13" i="5"/>
  <c r="Z4" i="5"/>
  <c r="T13" i="5"/>
  <c r="T12" i="5"/>
  <c r="T11" i="5"/>
  <c r="T10" i="5"/>
  <c r="T9" i="5"/>
  <c r="T8" i="5"/>
  <c r="T7" i="5"/>
  <c r="T6" i="5"/>
  <c r="T5" i="5"/>
  <c r="T4" i="5"/>
  <c r="W5" i="5"/>
  <c r="W6" i="5"/>
  <c r="W7" i="5"/>
  <c r="W8" i="5"/>
  <c r="W9" i="5"/>
  <c r="W10" i="5"/>
  <c r="W11" i="5"/>
  <c r="W12" i="5"/>
  <c r="W13" i="5"/>
  <c r="W4" i="5"/>
  <c r="X5" i="5"/>
  <c r="X6" i="5"/>
  <c r="X7" i="5"/>
  <c r="X8" i="5"/>
  <c r="X9" i="5"/>
  <c r="X10" i="5"/>
  <c r="X11" i="5"/>
  <c r="X12" i="5"/>
  <c r="X13" i="5"/>
  <c r="X4" i="5"/>
  <c r="V5" i="5"/>
  <c r="V6" i="5"/>
  <c r="V7" i="5"/>
  <c r="V8" i="5"/>
  <c r="V9" i="5"/>
  <c r="V10" i="5"/>
  <c r="V11" i="5"/>
  <c r="V12" i="5"/>
  <c r="V13" i="5"/>
  <c r="V4" i="5"/>
  <c r="U5" i="5"/>
  <c r="U6" i="5"/>
  <c r="U7" i="5"/>
  <c r="U8" i="5"/>
  <c r="U9" i="5"/>
  <c r="U10" i="5"/>
  <c r="U11" i="5"/>
  <c r="U12" i="5"/>
  <c r="U13" i="5"/>
  <c r="U4" i="5"/>
  <c r="X5" i="4"/>
  <c r="X6" i="4"/>
  <c r="X7" i="4"/>
  <c r="X8" i="4"/>
  <c r="X9" i="4"/>
  <c r="X10" i="4"/>
  <c r="X11" i="4"/>
  <c r="X12" i="4"/>
  <c r="X13" i="4"/>
  <c r="X14" i="4"/>
  <c r="X4" i="4"/>
  <c r="W5" i="4"/>
  <c r="W6" i="4"/>
  <c r="W7" i="4"/>
  <c r="W8" i="4"/>
  <c r="W9" i="4"/>
  <c r="W10" i="4"/>
  <c r="W11" i="4"/>
  <c r="W12" i="4"/>
  <c r="W13" i="4"/>
  <c r="W14" i="4"/>
  <c r="W4" i="4"/>
  <c r="U5" i="4"/>
  <c r="U6" i="4"/>
  <c r="U7" i="4"/>
  <c r="U8" i="4"/>
  <c r="U9" i="4"/>
  <c r="U10" i="4"/>
  <c r="U11" i="4"/>
  <c r="U12" i="4"/>
  <c r="U13" i="4"/>
  <c r="U14" i="4"/>
  <c r="V5" i="4"/>
  <c r="V6" i="4"/>
  <c r="V7" i="4"/>
  <c r="V8" i="4"/>
  <c r="V9" i="4"/>
  <c r="V10" i="4"/>
  <c r="V11" i="4"/>
  <c r="V12" i="4"/>
  <c r="V13" i="4"/>
  <c r="V14" i="4"/>
  <c r="U4" i="4"/>
  <c r="V4" i="4"/>
  <c r="K25" i="1"/>
  <c r="K23" i="1"/>
  <c r="K21" i="1"/>
  <c r="K19" i="1"/>
  <c r="K17" i="1"/>
  <c r="K15" i="1"/>
  <c r="K13" i="1"/>
  <c r="K11" i="1"/>
  <c r="K9" i="1"/>
  <c r="K7" i="1"/>
  <c r="B26" i="9" l="1"/>
  <c r="B27" i="9"/>
  <c r="B29" i="9"/>
  <c r="B20" i="9"/>
  <c r="B23" i="9"/>
  <c r="B28" i="9"/>
  <c r="B25" i="9"/>
  <c r="B31" i="9"/>
  <c r="S9" i="9"/>
  <c r="Y9" i="9" s="1"/>
  <c r="S14" i="9"/>
  <c r="Y14" i="9" s="1"/>
  <c r="S16" i="9"/>
  <c r="Y16" i="9" s="1"/>
  <c r="S15" i="9"/>
  <c r="Y15" i="9" s="1"/>
  <c r="S17" i="9"/>
  <c r="Y17" i="9" s="1"/>
  <c r="S11" i="9"/>
  <c r="Y11" i="9" s="1"/>
  <c r="S13" i="9"/>
  <c r="Y13" i="9" s="1"/>
  <c r="S10" i="9"/>
  <c r="Y10" i="9" s="1"/>
  <c r="S4" i="9"/>
  <c r="Y4" i="9" s="1"/>
  <c r="S5" i="9"/>
  <c r="Y5" i="9" s="1"/>
  <c r="S6" i="9"/>
  <c r="Y6" i="9" s="1"/>
  <c r="B14" i="8"/>
  <c r="S7" i="8"/>
  <c r="Y7" i="8" s="1"/>
  <c r="S9" i="8"/>
  <c r="Y9" i="8" s="1"/>
  <c r="S10" i="8"/>
  <c r="Y10" i="8" s="1"/>
  <c r="S8" i="8"/>
  <c r="Y8" i="8" s="1"/>
  <c r="S11" i="8"/>
  <c r="Y11" i="8" s="1"/>
  <c r="S29" i="6"/>
  <c r="Y29" i="6" s="1"/>
  <c r="S28" i="6"/>
  <c r="Y28" i="6" s="1"/>
  <c r="S9" i="6"/>
  <c r="Y9" i="6" s="1"/>
  <c r="S24" i="6"/>
  <c r="Y24" i="6" s="1"/>
  <c r="S6" i="6"/>
  <c r="Y6" i="6" s="1"/>
  <c r="S5" i="6"/>
  <c r="Y5" i="6" s="1"/>
  <c r="S27" i="6"/>
  <c r="Y27" i="6" s="1"/>
  <c r="S8" i="6"/>
  <c r="Y8" i="6" s="1"/>
  <c r="S23" i="6"/>
  <c r="Y23" i="6" s="1"/>
  <c r="S7" i="6"/>
  <c r="Y7" i="6" s="1"/>
  <c r="S17" i="6"/>
  <c r="Y17" i="6" s="1"/>
  <c r="S13" i="6"/>
  <c r="Y13" i="6" s="1"/>
  <c r="S26" i="6"/>
  <c r="Y26" i="6" s="1"/>
  <c r="S25" i="6"/>
  <c r="Y25" i="6" s="1"/>
  <c r="S20" i="6"/>
  <c r="Y20" i="6" s="1"/>
  <c r="S11" i="6"/>
  <c r="Y11" i="6" s="1"/>
  <c r="S19" i="6"/>
  <c r="Y19" i="6" s="1"/>
  <c r="S12" i="6"/>
  <c r="Y12" i="6" s="1"/>
  <c r="S10" i="6"/>
  <c r="Y10" i="6" s="1"/>
  <c r="S18" i="6"/>
  <c r="Y18" i="6" s="1"/>
  <c r="S4" i="6"/>
  <c r="Y4" i="6" s="1"/>
  <c r="S32" i="6"/>
  <c r="Y32" i="6" s="1"/>
  <c r="S16" i="6"/>
  <c r="Y16" i="6" s="1"/>
  <c r="S15" i="6"/>
  <c r="Y15" i="6" s="1"/>
  <c r="S31" i="6"/>
  <c r="Y31" i="6" s="1"/>
  <c r="S14" i="6"/>
  <c r="Y14" i="6" s="1"/>
  <c r="S30" i="6"/>
  <c r="Y30" i="6" s="1"/>
</calcChain>
</file>

<file path=xl/sharedStrings.xml><?xml version="1.0" encoding="utf-8"?>
<sst xmlns="http://schemas.openxmlformats.org/spreadsheetml/2006/main" count="190" uniqueCount="93">
  <si>
    <t>Comandante
(red clix)</t>
  </si>
  <si>
    <t>Niche Zero</t>
  </si>
  <si>
    <t>33-34</t>
  </si>
  <si>
    <t>21-23</t>
  </si>
  <si>
    <t>27-29</t>
  </si>
  <si>
    <t>31-33</t>
  </si>
  <si>
    <t>36-39</t>
  </si>
  <si>
    <t>42-44</t>
  </si>
  <si>
    <t>45-46</t>
  </si>
  <si>
    <t>-</t>
  </si>
  <si>
    <t>4,7 </t>
  </si>
  <si>
    <t>4,9 </t>
  </si>
  <si>
    <t>5,3 </t>
  </si>
  <si>
    <t>5,6 </t>
  </si>
  <si>
    <t>6,2 </t>
  </si>
  <si>
    <t>6,9 </t>
  </si>
  <si>
    <t>7,3 </t>
  </si>
  <si>
    <t>7,6 </t>
  </si>
  <si>
    <t>8 </t>
  </si>
  <si>
    <t>8,2 </t>
  </si>
  <si>
    <t>8,6 </t>
  </si>
  <si>
    <t>Ditting  
807 LAB  
SWEET</t>
  </si>
  <si>
    <t>22 </t>
  </si>
  <si>
    <t>26 </t>
  </si>
  <si>
    <t>29 </t>
  </si>
  <si>
    <t>32 </t>
  </si>
  <si>
    <t>34 </t>
  </si>
  <si>
    <t>43 </t>
  </si>
  <si>
    <t>46 </t>
  </si>
  <si>
    <t>48 </t>
  </si>
  <si>
    <t>52 </t>
  </si>
  <si>
    <t>54 </t>
  </si>
  <si>
    <t>57 </t>
  </si>
  <si>
    <t>33-34 </t>
  </si>
  <si>
    <t>41 </t>
  </si>
  <si>
    <t>45 </t>
  </si>
  <si>
    <t>21-23 </t>
  </si>
  <si>
    <t>27-29 </t>
  </si>
  <si>
    <t>31-33 </t>
  </si>
  <si>
    <t>36-39 </t>
  </si>
  <si>
    <t>42-44 </t>
  </si>
  <si>
    <t>45-46 </t>
  </si>
  <si>
    <t>- </t>
  </si>
  <si>
    <t>13-14 </t>
  </si>
  <si>
    <t>15-16 </t>
  </si>
  <si>
    <t>17-18 </t>
  </si>
  <si>
    <t>19-20 </t>
  </si>
  <si>
    <t>20-21 </t>
  </si>
  <si>
    <t>21-22 </t>
  </si>
  <si>
    <t>22-23 </t>
  </si>
  <si>
    <t>23-24 </t>
  </si>
  <si>
    <t>24-25 </t>
  </si>
  <si>
    <t>25-26 </t>
  </si>
  <si>
    <t>26-27 </t>
  </si>
  <si>
    <t>Comandante C40</t>
  </si>
  <si>
    <t>С40</t>
  </si>
  <si>
    <t>C40RC</t>
  </si>
  <si>
    <t>C40RC-conv</t>
  </si>
  <si>
    <t>NZ-conv-40</t>
  </si>
  <si>
    <t>NZ-conv-rc</t>
  </si>
  <si>
    <t>C40-conv</t>
  </si>
  <si>
    <t>backward</t>
  </si>
  <si>
    <t>C40</t>
  </si>
  <si>
    <t/>
  </si>
  <si>
    <t>Id</t>
  </si>
  <si>
    <t>Model</t>
  </si>
  <si>
    <t>Value</t>
  </si>
  <si>
    <t>Amount</t>
  </si>
  <si>
    <t>Coarse</t>
  </si>
  <si>
    <t>Fine</t>
  </si>
  <si>
    <t>MidHigh</t>
  </si>
  <si>
    <t>MidLow</t>
  </si>
  <si>
    <t>Manufacturer</t>
  </si>
  <si>
    <t>Commandante</t>
  </si>
  <si>
    <t>0fdccac9-3ec3-cebe-4757-ab1964e7b8d9</t>
  </si>
  <si>
    <t>IsDiscrete</t>
  </si>
  <si>
    <t>IsExtrapolated</t>
  </si>
  <si>
    <t>X-axis</t>
  </si>
  <si>
    <t>Ditting</t>
  </si>
  <si>
    <t>807 LAB SWEET</t>
  </si>
  <si>
    <t>56704cd3-be3d-151e-66e2-daa143358009</t>
  </si>
  <si>
    <t>cc2a9e6f-dbc5-99a5-9552-f745b1c73f89</t>
  </si>
  <si>
    <t>Niche</t>
  </si>
  <si>
    <t>Zero</t>
  </si>
  <si>
    <t>Sum</t>
  </si>
  <si>
    <t>Sum/Amount</t>
  </si>
  <si>
    <t>1st</t>
  </si>
  <si>
    <t>2nd</t>
  </si>
  <si>
    <t>Mahlkönig</t>
  </si>
  <si>
    <t>Tanzania</t>
  </si>
  <si>
    <t>de411cc7-98dc-8dcb-8496-6d021e73dc4a</t>
  </si>
  <si>
    <t>EK43 (turkish)</t>
  </si>
  <si>
    <t>0ed77906-3534-9c10-9a58-d9132a75e824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</si>
</sst>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26">
    <dxf>
      <fill>
        <patternFill>
          <bgColor theme="0" tint="-4.9989318521683403E-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Commandante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C40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'Commandante C40'!$C$3</c:f>
              <c:strCache>
                <c:ptCount val="1"/>
                <c:pt idx="0">
                  <c:v>Coarse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1326822885878005"/>
                  <c:y val="-1.60075339419781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'Commandante C40'!$A$4:$A$14</c:f>
              <c:numCache>
                <c:formatCode>General</c:formatCode>
                <c:ptCount val="11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</c:numCache>
            </c:numRef>
          </c:xVal>
          <c:yVal>
            <c:numRef>
              <c:f>'Commandante C40'!$C$4:$C$14</c:f>
              <c:numCache>
                <c:formatCode>General</c:formatCode>
                <c:ptCount val="11"/>
                <c:pt idx="0">
                  <c:v>0.57999999999999996</c:v>
                </c:pt>
                <c:pt idx="1">
                  <c:v>1.64</c:v>
                </c:pt>
                <c:pt idx="2" formatCode="0.00">
                  <c:v>2.7</c:v>
                </c:pt>
                <c:pt idx="3" formatCode="0.00">
                  <c:v>5.89</c:v>
                </c:pt>
                <c:pt idx="4" formatCode="0.00">
                  <c:v>9.7100000000000009</c:v>
                </c:pt>
                <c:pt idx="5" formatCode="0.00">
                  <c:v>13.35</c:v>
                </c:pt>
                <c:pt idx="6" formatCode="0.00">
                  <c:v>16.989999999999998</c:v>
                </c:pt>
                <c:pt idx="7" formatCode="0.00">
                  <c:v>19.43</c:v>
                </c:pt>
                <c:pt idx="8" formatCode="0.00">
                  <c:v>21.88</c:v>
                </c:pt>
                <c:pt idx="9" formatCode="0.00">
                  <c:v>22.76</c:v>
                </c:pt>
                <c:pt idx="10" formatCode="0.00">
                  <c:v>23.64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86-4507-B5BB-31B19D3B7F2B}"/>
            </c:ext>
          </c:extLst>
        </c:ser>
        <c:ser>
          <c:idx val="2"/>
          <c:order val="1"/>
          <c:tx>
            <c:strRef>
              <c:f>'Commandante C40'!$D$3</c:f>
              <c:strCache>
                <c:ptCount val="1"/>
                <c:pt idx="0">
                  <c:v>MidHigh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7952992362441178E-2"/>
                  <c:y val="-0.13472641501207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'Commandante C40'!$A$4:$A$14</c:f>
              <c:numCache>
                <c:formatCode>General</c:formatCode>
                <c:ptCount val="11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</c:numCache>
            </c:numRef>
          </c:xVal>
          <c:yVal>
            <c:numRef>
              <c:f>'Commandante C40'!$D$4:$D$14</c:f>
              <c:numCache>
                <c:formatCode>General</c:formatCode>
                <c:ptCount val="11"/>
                <c:pt idx="0">
                  <c:v>9.67</c:v>
                </c:pt>
                <c:pt idx="1">
                  <c:v>11.55</c:v>
                </c:pt>
                <c:pt idx="2" formatCode="0.00">
                  <c:v>13.43</c:v>
                </c:pt>
                <c:pt idx="3" formatCode="0.00">
                  <c:v>12.83</c:v>
                </c:pt>
                <c:pt idx="4" formatCode="0.00">
                  <c:v>12.22</c:v>
                </c:pt>
                <c:pt idx="5" formatCode="0.00">
                  <c:v>10.050000000000001</c:v>
                </c:pt>
                <c:pt idx="6" formatCode="0.00">
                  <c:v>7.88</c:v>
                </c:pt>
                <c:pt idx="7" formatCode="0.00">
                  <c:v>6.19</c:v>
                </c:pt>
                <c:pt idx="8" formatCode="0.00">
                  <c:v>4.49</c:v>
                </c:pt>
                <c:pt idx="9" formatCode="0.00">
                  <c:v>3.96</c:v>
                </c:pt>
                <c:pt idx="10" formatCode="0.00">
                  <c:v>3.43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86-4507-B5BB-31B19D3B7F2B}"/>
            </c:ext>
          </c:extLst>
        </c:ser>
        <c:ser>
          <c:idx val="3"/>
          <c:order val="2"/>
          <c:tx>
            <c:strRef>
              <c:f>'Commandante C40'!$E$3</c:f>
              <c:strCache>
                <c:ptCount val="1"/>
                <c:pt idx="0">
                  <c:v>MidLow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0741245182190065"/>
                  <c:y val="-0.49231171684934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'Commandante C40'!$A$4:$A$14</c:f>
              <c:numCache>
                <c:formatCode>General</c:formatCode>
                <c:ptCount val="11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</c:numCache>
            </c:numRef>
          </c:xVal>
          <c:yVal>
            <c:numRef>
              <c:f>'Commandante C40'!$E$4:$E$14</c:f>
              <c:numCache>
                <c:formatCode>General</c:formatCode>
                <c:ptCount val="11"/>
                <c:pt idx="0">
                  <c:v>18.72</c:v>
                </c:pt>
                <c:pt idx="1">
                  <c:v>15.83</c:v>
                </c:pt>
                <c:pt idx="2" formatCode="0.00">
                  <c:v>12.93</c:v>
                </c:pt>
                <c:pt idx="3" formatCode="0.00">
                  <c:v>10.08</c:v>
                </c:pt>
                <c:pt idx="4" formatCode="0.00">
                  <c:v>7.23</c:v>
                </c:pt>
                <c:pt idx="5" formatCode="0.00">
                  <c:v>5.86</c:v>
                </c:pt>
                <c:pt idx="6" formatCode="0.00">
                  <c:v>4.49</c:v>
                </c:pt>
                <c:pt idx="7" formatCode="0.00">
                  <c:v>3.75</c:v>
                </c:pt>
                <c:pt idx="8" formatCode="0.00">
                  <c:v>3.01</c:v>
                </c:pt>
                <c:pt idx="9" formatCode="0.00">
                  <c:v>2.79</c:v>
                </c:pt>
                <c:pt idx="10" formatCode="0.00">
                  <c:v>2.58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86-4507-B5BB-31B19D3B7F2B}"/>
            </c:ext>
          </c:extLst>
        </c:ser>
        <c:ser>
          <c:idx val="4"/>
          <c:order val="3"/>
          <c:tx>
            <c:strRef>
              <c:f>'Commandante C40'!$F$3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917154678510602"/>
                  <c:y val="-2.8635284507601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'Commandante C40'!$A$4:$A$14</c:f>
              <c:numCache>
                <c:formatCode>General</c:formatCode>
                <c:ptCount val="11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</c:numCache>
            </c:numRef>
          </c:xVal>
          <c:yVal>
            <c:numRef>
              <c:f>'Commandante C40'!$F$4:$F$14</c:f>
              <c:numCache>
                <c:formatCode>General</c:formatCode>
                <c:ptCount val="11"/>
                <c:pt idx="0">
                  <c:v>0.42</c:v>
                </c:pt>
                <c:pt idx="1">
                  <c:v>0.4</c:v>
                </c:pt>
                <c:pt idx="2" formatCode="0.00">
                  <c:v>0.37</c:v>
                </c:pt>
                <c:pt idx="3" formatCode="0.00">
                  <c:v>0.39</c:v>
                </c:pt>
                <c:pt idx="4" formatCode="0.00">
                  <c:v>0.35</c:v>
                </c:pt>
                <c:pt idx="5" formatCode="0.00">
                  <c:v>0.38</c:v>
                </c:pt>
                <c:pt idx="6" formatCode="0.00">
                  <c:v>0.3</c:v>
                </c:pt>
                <c:pt idx="7" formatCode="0.00">
                  <c:v>0.24</c:v>
                </c:pt>
                <c:pt idx="8" formatCode="0.00">
                  <c:v>0.18</c:v>
                </c:pt>
                <c:pt idx="9" formatCode="0.00">
                  <c:v>0.14000000000000001</c:v>
                </c:pt>
                <c:pt idx="10" formatCode="0.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86-4507-B5BB-31B19D3B7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352816"/>
        <c:axId val="947358576"/>
      </c:scatterChart>
      <c:valAx>
        <c:axId val="947352816"/>
        <c:scaling>
          <c:orientation val="minMax"/>
          <c:max val="33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7358576"/>
        <c:crosses val="autoZero"/>
        <c:crossBetween val="midCat"/>
      </c:valAx>
      <c:valAx>
        <c:axId val="9473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735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Ditting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807 LAB SWEET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'Ditting 807'!$C$3</c:f>
              <c:strCache>
                <c:ptCount val="1"/>
                <c:pt idx="0">
                  <c:v>Coarse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'Ditting 807'!$A$4:$A$14</c:f>
              <c:numCache>
                <c:formatCode>General</c:formatCode>
                <c:ptCount val="11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</c:numCache>
            </c:numRef>
          </c:xVal>
          <c:yVal>
            <c:numRef>
              <c:f>'Ditting 807'!$C$4:$C$14</c:f>
              <c:numCache>
                <c:formatCode>0.00</c:formatCode>
                <c:ptCount val="11"/>
                <c:pt idx="0">
                  <c:v>1.1200000000000001</c:v>
                </c:pt>
                <c:pt idx="1">
                  <c:v>2.13</c:v>
                </c:pt>
                <c:pt idx="2">
                  <c:v>3.95</c:v>
                </c:pt>
                <c:pt idx="3">
                  <c:v>7.21</c:v>
                </c:pt>
                <c:pt idx="4">
                  <c:v>10.88</c:v>
                </c:pt>
                <c:pt idx="5">
                  <c:v>12.6</c:v>
                </c:pt>
                <c:pt idx="6">
                  <c:v>15.6</c:v>
                </c:pt>
                <c:pt idx="7">
                  <c:v>17.72</c:v>
                </c:pt>
                <c:pt idx="8">
                  <c:v>19.87</c:v>
                </c:pt>
                <c:pt idx="9">
                  <c:v>21.22</c:v>
                </c:pt>
                <c:pt idx="10">
                  <c:v>21.89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EB-4CCF-B83C-83759AA4C846}"/>
            </c:ext>
          </c:extLst>
        </c:ser>
        <c:ser>
          <c:idx val="1"/>
          <c:order val="1"/>
          <c:tx>
            <c:strRef>
              <c:f>'Ditting 807'!$D$3</c:f>
              <c:strCache>
                <c:ptCount val="1"/>
                <c:pt idx="0">
                  <c:v>MidHigh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41549333420356205"/>
                  <c:y val="-0.424047502627482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'Ditting 807'!$A$4:$A$14</c:f>
              <c:numCache>
                <c:formatCode>General</c:formatCode>
                <c:ptCount val="11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</c:numCache>
            </c:numRef>
          </c:xVal>
          <c:yVal>
            <c:numRef>
              <c:f>'Ditting 807'!$D$4:$D$14</c:f>
              <c:numCache>
                <c:formatCode>0.00</c:formatCode>
                <c:ptCount val="11"/>
                <c:pt idx="0">
                  <c:v>12.86</c:v>
                </c:pt>
                <c:pt idx="1">
                  <c:v>14.99</c:v>
                </c:pt>
                <c:pt idx="2">
                  <c:v>15.19</c:v>
                </c:pt>
                <c:pt idx="3">
                  <c:v>13.65</c:v>
                </c:pt>
                <c:pt idx="4">
                  <c:v>11.66</c:v>
                </c:pt>
                <c:pt idx="5">
                  <c:v>10.07</c:v>
                </c:pt>
                <c:pt idx="6">
                  <c:v>7.95</c:v>
                </c:pt>
                <c:pt idx="7">
                  <c:v>6.1</c:v>
                </c:pt>
                <c:pt idx="8">
                  <c:v>4.8899999999999997</c:v>
                </c:pt>
                <c:pt idx="9">
                  <c:v>3.9</c:v>
                </c:pt>
                <c:pt idx="10">
                  <c:v>3.51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EB-4CCF-B83C-83759AA4C846}"/>
            </c:ext>
          </c:extLst>
        </c:ser>
        <c:ser>
          <c:idx val="2"/>
          <c:order val="2"/>
          <c:tx>
            <c:strRef>
              <c:f>'Ditting 807'!$E$3</c:f>
              <c:strCache>
                <c:ptCount val="1"/>
                <c:pt idx="0">
                  <c:v>MidLow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114968089024396"/>
                  <c:y val="1.94053366455530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'Ditting 807'!$A$4:$A$14</c:f>
              <c:numCache>
                <c:formatCode>General</c:formatCode>
                <c:ptCount val="11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</c:numCache>
            </c:numRef>
          </c:xVal>
          <c:yVal>
            <c:numRef>
              <c:f>'Ditting 807'!$E$4:$E$14</c:f>
              <c:numCache>
                <c:formatCode>0.00</c:formatCode>
                <c:ptCount val="11"/>
                <c:pt idx="0">
                  <c:v>14.9</c:v>
                </c:pt>
                <c:pt idx="1">
                  <c:v>12.17</c:v>
                </c:pt>
                <c:pt idx="2">
                  <c:v>10.029999999999999</c:v>
                </c:pt>
                <c:pt idx="3">
                  <c:v>8.48</c:v>
                </c:pt>
                <c:pt idx="4">
                  <c:v>6.79</c:v>
                </c:pt>
                <c:pt idx="5">
                  <c:v>6.73</c:v>
                </c:pt>
                <c:pt idx="6">
                  <c:v>5.88</c:v>
                </c:pt>
                <c:pt idx="7">
                  <c:v>5.55</c:v>
                </c:pt>
                <c:pt idx="8">
                  <c:v>4.59</c:v>
                </c:pt>
                <c:pt idx="9">
                  <c:v>4.1900000000000004</c:v>
                </c:pt>
                <c:pt idx="10">
                  <c:v>3.99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EB-4CCF-B83C-83759AA4C846}"/>
            </c:ext>
          </c:extLst>
        </c:ser>
        <c:ser>
          <c:idx val="3"/>
          <c:order val="3"/>
          <c:tx>
            <c:strRef>
              <c:f>'Ditting 807'!$F$3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7555310026743992E-3"/>
                  <c:y val="-1.39935666499931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'Ditting 807'!$A$4:$A$14</c:f>
              <c:numCache>
                <c:formatCode>General</c:formatCode>
                <c:ptCount val="11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</c:numCache>
            </c:numRef>
          </c:xVal>
          <c:yVal>
            <c:numRef>
              <c:f>'Ditting 807'!$F$4:$F$14</c:f>
              <c:numCache>
                <c:formatCode>0.00</c:formatCode>
                <c:ptCount val="11"/>
                <c:pt idx="0">
                  <c:v>0.65</c:v>
                </c:pt>
                <c:pt idx="1">
                  <c:v>0.46</c:v>
                </c:pt>
                <c:pt idx="2">
                  <c:v>0.45</c:v>
                </c:pt>
                <c:pt idx="3">
                  <c:v>0.33</c:v>
                </c:pt>
                <c:pt idx="4">
                  <c:v>0.27</c:v>
                </c:pt>
                <c:pt idx="5">
                  <c:v>0.2</c:v>
                </c:pt>
                <c:pt idx="6">
                  <c:v>0.33</c:v>
                </c:pt>
                <c:pt idx="7">
                  <c:v>0.35</c:v>
                </c:pt>
                <c:pt idx="8">
                  <c:v>0.33</c:v>
                </c:pt>
                <c:pt idx="9">
                  <c:v>0.24</c:v>
                </c:pt>
                <c:pt idx="10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EB-4CCF-B83C-83759AA4C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164856"/>
        <c:axId val="893164496"/>
      </c:scatterChart>
      <c:valAx>
        <c:axId val="893164856"/>
        <c:scaling>
          <c:orientation val="minMax"/>
          <c:max val="9.25"/>
          <c:min val="3.7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3164496"/>
        <c:crosses val="autoZero"/>
        <c:crossBetween val="midCat"/>
      </c:valAx>
      <c:valAx>
        <c:axId val="8931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316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Niche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Zero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'Niche Zero'!$C$3</c:f>
              <c:strCache>
                <c:ptCount val="1"/>
                <c:pt idx="0">
                  <c:v>Coarse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'Niche Zero'!$A$4:$A$23</c:f>
              <c:numCache>
                <c:formatCode>General</c:formatCode>
                <c:ptCount val="20"/>
                <c:pt idx="0" formatCode="0">
                  <c:v>26</c:v>
                </c:pt>
                <c:pt idx="1">
                  <c:v>28</c:v>
                </c:pt>
                <c:pt idx="2" formatCode="0">
                  <c:v>30</c:v>
                </c:pt>
                <c:pt idx="3">
                  <c:v>32</c:v>
                </c:pt>
                <c:pt idx="4" formatCode="0">
                  <c:v>34</c:v>
                </c:pt>
                <c:pt idx="5">
                  <c:v>36</c:v>
                </c:pt>
                <c:pt idx="6" formatCode="0">
                  <c:v>38</c:v>
                </c:pt>
                <c:pt idx="7">
                  <c:v>40</c:v>
                </c:pt>
                <c:pt idx="8" formatCode="0">
                  <c:v>42</c:v>
                </c:pt>
                <c:pt idx="9">
                  <c:v>44</c:v>
                </c:pt>
                <c:pt idx="10" formatCode="0">
                  <c:v>46</c:v>
                </c:pt>
                <c:pt idx="11">
                  <c:v>48</c:v>
                </c:pt>
                <c:pt idx="12" formatCode="0">
                  <c:v>50</c:v>
                </c:pt>
                <c:pt idx="13">
                  <c:v>51</c:v>
                </c:pt>
                <c:pt idx="14" formatCode="0">
                  <c:v>56</c:v>
                </c:pt>
                <c:pt idx="15">
                  <c:v>61</c:v>
                </c:pt>
                <c:pt idx="16">
                  <c:v>66</c:v>
                </c:pt>
                <c:pt idx="17" formatCode="0">
                  <c:v>71</c:v>
                </c:pt>
                <c:pt idx="18">
                  <c:v>76</c:v>
                </c:pt>
                <c:pt idx="19">
                  <c:v>81</c:v>
                </c:pt>
              </c:numCache>
            </c:numRef>
          </c:xVal>
          <c:yVal>
            <c:numRef>
              <c:f>'Niche Zero'!$C$4:$C$23</c:f>
              <c:numCache>
                <c:formatCode>0.00</c:formatCode>
                <c:ptCount val="20"/>
                <c:pt idx="0">
                  <c:v>1.55</c:v>
                </c:pt>
                <c:pt idx="1">
                  <c:v>1.96</c:v>
                </c:pt>
                <c:pt idx="2">
                  <c:v>2.33</c:v>
                </c:pt>
                <c:pt idx="3">
                  <c:v>2.93</c:v>
                </c:pt>
                <c:pt idx="4">
                  <c:v>3.72</c:v>
                </c:pt>
                <c:pt idx="5">
                  <c:v>4.2300000000000004</c:v>
                </c:pt>
                <c:pt idx="6">
                  <c:v>5.29</c:v>
                </c:pt>
                <c:pt idx="7">
                  <c:v>5.88</c:v>
                </c:pt>
                <c:pt idx="8">
                  <c:v>7.12</c:v>
                </c:pt>
                <c:pt idx="9">
                  <c:v>7.87</c:v>
                </c:pt>
                <c:pt idx="10">
                  <c:v>9.93</c:v>
                </c:pt>
                <c:pt idx="11">
                  <c:v>10.15</c:v>
                </c:pt>
                <c:pt idx="12">
                  <c:v>10.72</c:v>
                </c:pt>
                <c:pt idx="13">
                  <c:v>10.5</c:v>
                </c:pt>
                <c:pt idx="14">
                  <c:v>12.09</c:v>
                </c:pt>
                <c:pt idx="15">
                  <c:v>15.12</c:v>
                </c:pt>
                <c:pt idx="16">
                  <c:v>17.13</c:v>
                </c:pt>
                <c:pt idx="17">
                  <c:v>18.38</c:v>
                </c:pt>
                <c:pt idx="18">
                  <c:v>20.190000000000001</c:v>
                </c:pt>
                <c:pt idx="19">
                  <c:v>21.11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9E-4E5E-8281-A3C327AA059F}"/>
            </c:ext>
          </c:extLst>
        </c:ser>
        <c:ser>
          <c:idx val="1"/>
          <c:order val="1"/>
          <c:tx>
            <c:strRef>
              <c:f>'Niche Zero'!$D$3</c:f>
              <c:strCache>
                <c:ptCount val="1"/>
                <c:pt idx="0">
                  <c:v>MidHigh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8719402096014595E-2"/>
                  <c:y val="-0.15620035227692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'Niche Zero'!$A$4:$A$23</c:f>
              <c:numCache>
                <c:formatCode>General</c:formatCode>
                <c:ptCount val="20"/>
                <c:pt idx="0" formatCode="0">
                  <c:v>26</c:v>
                </c:pt>
                <c:pt idx="1">
                  <c:v>28</c:v>
                </c:pt>
                <c:pt idx="2" formatCode="0">
                  <c:v>30</c:v>
                </c:pt>
                <c:pt idx="3">
                  <c:v>32</c:v>
                </c:pt>
                <c:pt idx="4" formatCode="0">
                  <c:v>34</c:v>
                </c:pt>
                <c:pt idx="5">
                  <c:v>36</c:v>
                </c:pt>
                <c:pt idx="6" formatCode="0">
                  <c:v>38</c:v>
                </c:pt>
                <c:pt idx="7">
                  <c:v>40</c:v>
                </c:pt>
                <c:pt idx="8" formatCode="0">
                  <c:v>42</c:v>
                </c:pt>
                <c:pt idx="9">
                  <c:v>44</c:v>
                </c:pt>
                <c:pt idx="10" formatCode="0">
                  <c:v>46</c:v>
                </c:pt>
                <c:pt idx="11">
                  <c:v>48</c:v>
                </c:pt>
                <c:pt idx="12" formatCode="0">
                  <c:v>50</c:v>
                </c:pt>
                <c:pt idx="13">
                  <c:v>51</c:v>
                </c:pt>
                <c:pt idx="14" formatCode="0">
                  <c:v>56</c:v>
                </c:pt>
                <c:pt idx="15">
                  <c:v>61</c:v>
                </c:pt>
                <c:pt idx="16">
                  <c:v>66</c:v>
                </c:pt>
                <c:pt idx="17" formatCode="0">
                  <c:v>71</c:v>
                </c:pt>
                <c:pt idx="18">
                  <c:v>76</c:v>
                </c:pt>
                <c:pt idx="19">
                  <c:v>81</c:v>
                </c:pt>
              </c:numCache>
            </c:numRef>
          </c:xVal>
          <c:yVal>
            <c:numRef>
              <c:f>'Niche Zero'!$D$4:$D$23</c:f>
              <c:numCache>
                <c:formatCode>0.00</c:formatCode>
                <c:ptCount val="20"/>
                <c:pt idx="0">
                  <c:v>8.81</c:v>
                </c:pt>
                <c:pt idx="1">
                  <c:v>9.75</c:v>
                </c:pt>
                <c:pt idx="2">
                  <c:v>10.33</c:v>
                </c:pt>
                <c:pt idx="3">
                  <c:v>11.01</c:v>
                </c:pt>
                <c:pt idx="4">
                  <c:v>11.08</c:v>
                </c:pt>
                <c:pt idx="5">
                  <c:v>11.11</c:v>
                </c:pt>
                <c:pt idx="6">
                  <c:v>11.32</c:v>
                </c:pt>
                <c:pt idx="7">
                  <c:v>11.44</c:v>
                </c:pt>
                <c:pt idx="8">
                  <c:v>11.09</c:v>
                </c:pt>
                <c:pt idx="9">
                  <c:v>10.87</c:v>
                </c:pt>
                <c:pt idx="10">
                  <c:v>10.050000000000001</c:v>
                </c:pt>
                <c:pt idx="11">
                  <c:v>9.92</c:v>
                </c:pt>
                <c:pt idx="12">
                  <c:v>9.85</c:v>
                </c:pt>
                <c:pt idx="13">
                  <c:v>9.85</c:v>
                </c:pt>
                <c:pt idx="14">
                  <c:v>9.06</c:v>
                </c:pt>
                <c:pt idx="15">
                  <c:v>7.75</c:v>
                </c:pt>
                <c:pt idx="16">
                  <c:v>6.47</c:v>
                </c:pt>
                <c:pt idx="17">
                  <c:v>5.68</c:v>
                </c:pt>
                <c:pt idx="18">
                  <c:v>4.5999999999999996</c:v>
                </c:pt>
                <c:pt idx="19">
                  <c:v>3.94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9E-4E5E-8281-A3C327AA059F}"/>
            </c:ext>
          </c:extLst>
        </c:ser>
        <c:ser>
          <c:idx val="2"/>
          <c:order val="2"/>
          <c:tx>
            <c:strRef>
              <c:f>'Niche Zero'!$E$3</c:f>
              <c:strCache>
                <c:ptCount val="1"/>
                <c:pt idx="0">
                  <c:v>MidLow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5396041585227378"/>
                  <c:y val="-0.46663777438960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'Niche Zero'!$A$4:$A$23</c:f>
              <c:numCache>
                <c:formatCode>General</c:formatCode>
                <c:ptCount val="20"/>
                <c:pt idx="0" formatCode="0">
                  <c:v>26</c:v>
                </c:pt>
                <c:pt idx="1">
                  <c:v>28</c:v>
                </c:pt>
                <c:pt idx="2" formatCode="0">
                  <c:v>30</c:v>
                </c:pt>
                <c:pt idx="3">
                  <c:v>32</c:v>
                </c:pt>
                <c:pt idx="4" formatCode="0">
                  <c:v>34</c:v>
                </c:pt>
                <c:pt idx="5">
                  <c:v>36</c:v>
                </c:pt>
                <c:pt idx="6" formatCode="0">
                  <c:v>38</c:v>
                </c:pt>
                <c:pt idx="7">
                  <c:v>40</c:v>
                </c:pt>
                <c:pt idx="8" formatCode="0">
                  <c:v>42</c:v>
                </c:pt>
                <c:pt idx="9">
                  <c:v>44</c:v>
                </c:pt>
                <c:pt idx="10" formatCode="0">
                  <c:v>46</c:v>
                </c:pt>
                <c:pt idx="11">
                  <c:v>48</c:v>
                </c:pt>
                <c:pt idx="12" formatCode="0">
                  <c:v>50</c:v>
                </c:pt>
                <c:pt idx="13">
                  <c:v>51</c:v>
                </c:pt>
                <c:pt idx="14" formatCode="0">
                  <c:v>56</c:v>
                </c:pt>
                <c:pt idx="15">
                  <c:v>61</c:v>
                </c:pt>
                <c:pt idx="16">
                  <c:v>66</c:v>
                </c:pt>
                <c:pt idx="17" formatCode="0">
                  <c:v>71</c:v>
                </c:pt>
                <c:pt idx="18">
                  <c:v>76</c:v>
                </c:pt>
                <c:pt idx="19">
                  <c:v>81</c:v>
                </c:pt>
              </c:numCache>
            </c:numRef>
          </c:xVal>
          <c:yVal>
            <c:numRef>
              <c:f>'Niche Zero'!$E$4:$E$23</c:f>
              <c:numCache>
                <c:formatCode>0.00</c:formatCode>
                <c:ptCount val="20"/>
                <c:pt idx="0">
                  <c:v>18.62</c:v>
                </c:pt>
                <c:pt idx="1">
                  <c:v>17.239999999999998</c:v>
                </c:pt>
                <c:pt idx="2">
                  <c:v>16.27</c:v>
                </c:pt>
                <c:pt idx="3">
                  <c:v>15.11</c:v>
                </c:pt>
                <c:pt idx="4">
                  <c:v>14.13</c:v>
                </c:pt>
                <c:pt idx="5">
                  <c:v>13.64</c:v>
                </c:pt>
                <c:pt idx="6">
                  <c:v>12.45</c:v>
                </c:pt>
                <c:pt idx="7">
                  <c:v>11.54</c:v>
                </c:pt>
                <c:pt idx="8">
                  <c:v>10.86</c:v>
                </c:pt>
                <c:pt idx="9">
                  <c:v>10.029999999999999</c:v>
                </c:pt>
                <c:pt idx="10">
                  <c:v>9.1999999999999993</c:v>
                </c:pt>
                <c:pt idx="11">
                  <c:v>8.9</c:v>
                </c:pt>
                <c:pt idx="12">
                  <c:v>8.69</c:v>
                </c:pt>
                <c:pt idx="13">
                  <c:v>8.94</c:v>
                </c:pt>
                <c:pt idx="14">
                  <c:v>8.17</c:v>
                </c:pt>
                <c:pt idx="15">
                  <c:v>6.58</c:v>
                </c:pt>
                <c:pt idx="16">
                  <c:v>5.68</c:v>
                </c:pt>
                <c:pt idx="17">
                  <c:v>5.27</c:v>
                </c:pt>
                <c:pt idx="18">
                  <c:v>4.32</c:v>
                </c:pt>
                <c:pt idx="19">
                  <c:v>4.0599999999999996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9E-4E5E-8281-A3C327AA059F}"/>
            </c:ext>
          </c:extLst>
        </c:ser>
        <c:ser>
          <c:idx val="3"/>
          <c:order val="3"/>
          <c:tx>
            <c:strRef>
              <c:f>'Niche Zero'!$F$3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426851738884249"/>
                  <c:y val="-4.06850289132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'Niche Zero'!$A$4:$A$23</c:f>
              <c:numCache>
                <c:formatCode>General</c:formatCode>
                <c:ptCount val="20"/>
                <c:pt idx="0" formatCode="0">
                  <c:v>26</c:v>
                </c:pt>
                <c:pt idx="1">
                  <c:v>28</c:v>
                </c:pt>
                <c:pt idx="2" formatCode="0">
                  <c:v>30</c:v>
                </c:pt>
                <c:pt idx="3">
                  <c:v>32</c:v>
                </c:pt>
                <c:pt idx="4" formatCode="0">
                  <c:v>34</c:v>
                </c:pt>
                <c:pt idx="5">
                  <c:v>36</c:v>
                </c:pt>
                <c:pt idx="6" formatCode="0">
                  <c:v>38</c:v>
                </c:pt>
                <c:pt idx="7">
                  <c:v>40</c:v>
                </c:pt>
                <c:pt idx="8" formatCode="0">
                  <c:v>42</c:v>
                </c:pt>
                <c:pt idx="9">
                  <c:v>44</c:v>
                </c:pt>
                <c:pt idx="10" formatCode="0">
                  <c:v>46</c:v>
                </c:pt>
                <c:pt idx="11">
                  <c:v>48</c:v>
                </c:pt>
                <c:pt idx="12" formatCode="0">
                  <c:v>50</c:v>
                </c:pt>
                <c:pt idx="13">
                  <c:v>51</c:v>
                </c:pt>
                <c:pt idx="14" formatCode="0">
                  <c:v>56</c:v>
                </c:pt>
                <c:pt idx="15">
                  <c:v>61</c:v>
                </c:pt>
                <c:pt idx="16">
                  <c:v>66</c:v>
                </c:pt>
                <c:pt idx="17" formatCode="0">
                  <c:v>71</c:v>
                </c:pt>
                <c:pt idx="18">
                  <c:v>76</c:v>
                </c:pt>
                <c:pt idx="19">
                  <c:v>81</c:v>
                </c:pt>
              </c:numCache>
            </c:numRef>
          </c:xVal>
          <c:yVal>
            <c:numRef>
              <c:f>'Niche Zero'!$F$4:$F$23</c:f>
              <c:numCache>
                <c:formatCode>0.00</c:formatCode>
                <c:ptCount val="20"/>
                <c:pt idx="0">
                  <c:v>0.48</c:v>
                </c:pt>
                <c:pt idx="1">
                  <c:v>0.66</c:v>
                </c:pt>
                <c:pt idx="2">
                  <c:v>0.5</c:v>
                </c:pt>
                <c:pt idx="3">
                  <c:v>0.52</c:v>
                </c:pt>
                <c:pt idx="4">
                  <c:v>0.69</c:v>
                </c:pt>
                <c:pt idx="5">
                  <c:v>0.52</c:v>
                </c:pt>
                <c:pt idx="6">
                  <c:v>0.52</c:v>
                </c:pt>
                <c:pt idx="7">
                  <c:v>0.64</c:v>
                </c:pt>
                <c:pt idx="8">
                  <c:v>0.59</c:v>
                </c:pt>
                <c:pt idx="9">
                  <c:v>0.74</c:v>
                </c:pt>
                <c:pt idx="10">
                  <c:v>0.44</c:v>
                </c:pt>
                <c:pt idx="11">
                  <c:v>0.61</c:v>
                </c:pt>
                <c:pt idx="12">
                  <c:v>0.36</c:v>
                </c:pt>
                <c:pt idx="13">
                  <c:v>0.35</c:v>
                </c:pt>
                <c:pt idx="14">
                  <c:v>0.4</c:v>
                </c:pt>
                <c:pt idx="15">
                  <c:v>0.23</c:v>
                </c:pt>
                <c:pt idx="16">
                  <c:v>0.35</c:v>
                </c:pt>
                <c:pt idx="17">
                  <c:v>0.28999999999999998</c:v>
                </c:pt>
                <c:pt idx="18">
                  <c:v>0.51</c:v>
                </c:pt>
                <c:pt idx="19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9E-4E5E-8281-A3C327AA0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060816"/>
        <c:axId val="893068376"/>
      </c:scatterChart>
      <c:valAx>
        <c:axId val="893060816"/>
        <c:scaling>
          <c:orientation val="minMax"/>
          <c:max val="82"/>
          <c:min val="2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3068376"/>
        <c:crosses val="autoZero"/>
        <c:crossBetween val="midCat"/>
      </c:valAx>
      <c:valAx>
        <c:axId val="89306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306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Mahlkönig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Tanzania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'Mahlkönig Tanzania'!$C$3</c:f>
              <c:strCache>
                <c:ptCount val="1"/>
                <c:pt idx="0">
                  <c:v>Coarse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'Mahlkönig Tanzania'!$A$4:$A$12</c:f>
              <c:numCache>
                <c:formatCode>General</c:formatCode>
                <c:ptCount val="9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</c:numCache>
            </c:numRef>
          </c:xVal>
          <c:yVal>
            <c:numRef>
              <c:f>'Mahlkönig Tanzania'!$C$4:$C$12</c:f>
              <c:numCache>
                <c:formatCode>General</c:formatCode>
                <c:ptCount val="9"/>
                <c:pt idx="0">
                  <c:v>0.42499999999999999</c:v>
                </c:pt>
                <c:pt idx="1">
                  <c:v>1.48</c:v>
                </c:pt>
                <c:pt idx="2">
                  <c:v>2.56</c:v>
                </c:pt>
                <c:pt idx="3">
                  <c:v>5.03</c:v>
                </c:pt>
                <c:pt idx="4">
                  <c:v>8.4700000000000006</c:v>
                </c:pt>
                <c:pt idx="5">
                  <c:v>12.93</c:v>
                </c:pt>
                <c:pt idx="6">
                  <c:v>16.920000000000002</c:v>
                </c:pt>
                <c:pt idx="7">
                  <c:v>19.52</c:v>
                </c:pt>
                <c:pt idx="8">
                  <c:v>21.4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F1-4CE4-ADF8-A9EDA244E92F}"/>
            </c:ext>
          </c:extLst>
        </c:ser>
        <c:ser>
          <c:idx val="1"/>
          <c:order val="1"/>
          <c:tx>
            <c:strRef>
              <c:f>'Mahlkönig Tanzania'!$D$3</c:f>
              <c:strCache>
                <c:ptCount val="1"/>
                <c:pt idx="0">
                  <c:v>MidHigh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47672856988169915"/>
                  <c:y val="-0.41570287955633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'Mahlkönig Tanzania'!$A$4:$A$12</c:f>
              <c:numCache>
                <c:formatCode>General</c:formatCode>
                <c:ptCount val="9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</c:numCache>
            </c:numRef>
          </c:xVal>
          <c:yVal>
            <c:numRef>
              <c:f>'Mahlkönig Tanzania'!$D$4:$D$12</c:f>
              <c:numCache>
                <c:formatCode>General</c:formatCode>
                <c:ptCount val="9"/>
                <c:pt idx="0">
                  <c:v>12.08</c:v>
                </c:pt>
                <c:pt idx="1">
                  <c:v>15.54</c:v>
                </c:pt>
                <c:pt idx="2">
                  <c:v>16.73</c:v>
                </c:pt>
                <c:pt idx="3">
                  <c:v>16.39</c:v>
                </c:pt>
                <c:pt idx="4">
                  <c:v>14.32</c:v>
                </c:pt>
                <c:pt idx="5">
                  <c:v>11.27</c:v>
                </c:pt>
                <c:pt idx="6">
                  <c:v>7.9</c:v>
                </c:pt>
                <c:pt idx="7">
                  <c:v>5.85</c:v>
                </c:pt>
                <c:pt idx="8">
                  <c:v>4.46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F1-4CE4-ADF8-A9EDA244E92F}"/>
            </c:ext>
          </c:extLst>
        </c:ser>
        <c:ser>
          <c:idx val="2"/>
          <c:order val="2"/>
          <c:tx>
            <c:strRef>
              <c:f>'Mahlkönig Tanzania'!$E$3</c:f>
              <c:strCache>
                <c:ptCount val="1"/>
                <c:pt idx="0">
                  <c:v>MidLow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43303304402463927"/>
                  <c:y val="-0.26895373304863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'Mahlkönig Tanzania'!$A$4:$A$12</c:f>
              <c:numCache>
                <c:formatCode>General</c:formatCode>
                <c:ptCount val="9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</c:numCache>
            </c:numRef>
          </c:xVal>
          <c:yVal>
            <c:numRef>
              <c:f>'Mahlkönig Tanzania'!$E$4:$E$12</c:f>
              <c:numCache>
                <c:formatCode>General</c:formatCode>
                <c:ptCount val="9"/>
                <c:pt idx="0">
                  <c:v>15.73</c:v>
                </c:pt>
                <c:pt idx="1">
                  <c:v>11.24</c:v>
                </c:pt>
                <c:pt idx="2">
                  <c:v>9.57</c:v>
                </c:pt>
                <c:pt idx="3">
                  <c:v>7.32</c:v>
                </c:pt>
                <c:pt idx="4">
                  <c:v>6.35</c:v>
                </c:pt>
                <c:pt idx="5">
                  <c:v>4.5199999999999996</c:v>
                </c:pt>
                <c:pt idx="6">
                  <c:v>4.25</c:v>
                </c:pt>
                <c:pt idx="7">
                  <c:v>3.96</c:v>
                </c:pt>
                <c:pt idx="8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F1-4CE4-ADF8-A9EDA244E92F}"/>
            </c:ext>
          </c:extLst>
        </c:ser>
        <c:ser>
          <c:idx val="3"/>
          <c:order val="3"/>
          <c:tx>
            <c:strRef>
              <c:f>'Mahlkönig Tanzania'!$F$3</c:f>
              <c:strCache>
                <c:ptCount val="1"/>
                <c:pt idx="0">
                  <c:v>Fine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886887468526048"/>
                  <c:y val="-4.26384243007050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'Mahlkönig Tanzania'!$A$4:$A$12</c:f>
              <c:numCache>
                <c:formatCode>General</c:formatCode>
                <c:ptCount val="9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</c:numCache>
            </c:numRef>
          </c:xVal>
          <c:yVal>
            <c:numRef>
              <c:f>'Mahlkönig Tanzania'!$F$4:$F$12</c:f>
              <c:numCache>
                <c:formatCode>General</c:formatCode>
                <c:ptCount val="9"/>
                <c:pt idx="0">
                  <c:v>1.41</c:v>
                </c:pt>
                <c:pt idx="1">
                  <c:v>1.39</c:v>
                </c:pt>
                <c:pt idx="2">
                  <c:v>0.84</c:v>
                </c:pt>
                <c:pt idx="3">
                  <c:v>1.0900000000000001</c:v>
                </c:pt>
                <c:pt idx="4">
                  <c:v>0.67500000000000004</c:v>
                </c:pt>
                <c:pt idx="5">
                  <c:v>1.1399999999999999</c:v>
                </c:pt>
                <c:pt idx="6">
                  <c:v>0.84</c:v>
                </c:pt>
                <c:pt idx="7">
                  <c:v>0.36</c:v>
                </c:pt>
                <c:pt idx="8">
                  <c:v>0.43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F1-4CE4-ADF8-A9EDA244E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836680"/>
        <c:axId val="1143840280"/>
      </c:scatterChart>
      <c:valAx>
        <c:axId val="1143836680"/>
        <c:scaling>
          <c:orientation val="minMax"/>
          <c:max val="8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3840280"/>
        <c:crosses val="autoZero"/>
        <c:crossBetween val="midCat"/>
      </c:valAx>
      <c:valAx>
        <c:axId val="114384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38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Mahlkönig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EK43 (turkish)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'Mahlkönig EK43 (turkish)'!$C$3</c:f>
              <c:strCache>
                <c:ptCount val="1"/>
                <c:pt idx="0">
                  <c:v>Coarse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2.1094130348978467E-2"/>
                  <c:y val="-1.76774260833289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'Mahlkönig EK43 (turkish)'!$A$4:$A$18</c:f>
              <c:numCache>
                <c:formatCode>General</c:formatCode>
                <c:ptCount val="15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10.5</c:v>
                </c:pt>
                <c:pt idx="14">
                  <c:v>11</c:v>
                </c:pt>
              </c:numCache>
            </c:numRef>
          </c:xVal>
          <c:yVal>
            <c:numRef>
              <c:f>'Mahlkönig EK43 (turkish)'!$C$4:$C$18</c:f>
              <c:numCache>
                <c:formatCode>General</c:formatCode>
                <c:ptCount val="15"/>
                <c:pt idx="0">
                  <c:v>0.24</c:v>
                </c:pt>
                <c:pt idx="1">
                  <c:v>0.65</c:v>
                </c:pt>
                <c:pt idx="2">
                  <c:v>1.51</c:v>
                </c:pt>
                <c:pt idx="3">
                  <c:v>3.61</c:v>
                </c:pt>
                <c:pt idx="4">
                  <c:v>6.34</c:v>
                </c:pt>
                <c:pt idx="5">
                  <c:v>8.82</c:v>
                </c:pt>
                <c:pt idx="6">
                  <c:v>11.7</c:v>
                </c:pt>
                <c:pt idx="7">
                  <c:v>14.04</c:v>
                </c:pt>
                <c:pt idx="8">
                  <c:v>16.37</c:v>
                </c:pt>
                <c:pt idx="9">
                  <c:v>17.97</c:v>
                </c:pt>
                <c:pt idx="10">
                  <c:v>19.88</c:v>
                </c:pt>
                <c:pt idx="11">
                  <c:v>20.239999999999998</c:v>
                </c:pt>
                <c:pt idx="12">
                  <c:v>21.62</c:v>
                </c:pt>
                <c:pt idx="13">
                  <c:v>22.25</c:v>
                </c:pt>
                <c:pt idx="14">
                  <c:v>23.05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46-4E9D-B170-DE0FD0B21B6B}"/>
            </c:ext>
          </c:extLst>
        </c:ser>
        <c:ser>
          <c:idx val="1"/>
          <c:order val="1"/>
          <c:tx>
            <c:strRef>
              <c:f>'Mahlkönig EK43 (turkish)'!$D$3</c:f>
              <c:strCache>
                <c:ptCount val="1"/>
                <c:pt idx="0">
                  <c:v>MidHigh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52479032572654571"/>
                  <c:y val="-0.48204342006918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'Mahlkönig EK43 (turkish)'!$A$4:$A$18</c:f>
              <c:numCache>
                <c:formatCode>General</c:formatCode>
                <c:ptCount val="15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10.5</c:v>
                </c:pt>
                <c:pt idx="14">
                  <c:v>11</c:v>
                </c:pt>
              </c:numCache>
            </c:numRef>
          </c:xVal>
          <c:yVal>
            <c:numRef>
              <c:f>'Mahlkönig EK43 (turkish)'!$D$4:$D$18</c:f>
              <c:numCache>
                <c:formatCode>General</c:formatCode>
                <c:ptCount val="15"/>
                <c:pt idx="0">
                  <c:v>11.99</c:v>
                </c:pt>
                <c:pt idx="1">
                  <c:v>14.47</c:v>
                </c:pt>
                <c:pt idx="2">
                  <c:v>16.329999999999998</c:v>
                </c:pt>
                <c:pt idx="3">
                  <c:v>15.48</c:v>
                </c:pt>
                <c:pt idx="4">
                  <c:v>14.17</c:v>
                </c:pt>
                <c:pt idx="5">
                  <c:v>12.24</c:v>
                </c:pt>
                <c:pt idx="6">
                  <c:v>10.28</c:v>
                </c:pt>
                <c:pt idx="7">
                  <c:v>8.43</c:v>
                </c:pt>
                <c:pt idx="8">
                  <c:v>6.93</c:v>
                </c:pt>
                <c:pt idx="9">
                  <c:v>5.55</c:v>
                </c:pt>
                <c:pt idx="10">
                  <c:v>4.4800000000000004</c:v>
                </c:pt>
                <c:pt idx="11">
                  <c:v>4.09</c:v>
                </c:pt>
                <c:pt idx="12">
                  <c:v>3.44</c:v>
                </c:pt>
                <c:pt idx="13">
                  <c:v>3.01</c:v>
                </c:pt>
                <c:pt idx="14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46-4E9D-B170-DE0FD0B21B6B}"/>
            </c:ext>
          </c:extLst>
        </c:ser>
        <c:ser>
          <c:idx val="2"/>
          <c:order val="2"/>
          <c:tx>
            <c:strRef>
              <c:f>'Mahlkönig EK43 (turkish)'!$E$3</c:f>
              <c:strCache>
                <c:ptCount val="1"/>
                <c:pt idx="0">
                  <c:v>MidLow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2.9617786951587236E-2"/>
                  <c:y val="-0.14771688307173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'Mahlkönig EK43 (turkish)'!$A$4:$A$18</c:f>
              <c:numCache>
                <c:formatCode>General</c:formatCode>
                <c:ptCount val="15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10.5</c:v>
                </c:pt>
                <c:pt idx="14">
                  <c:v>11</c:v>
                </c:pt>
              </c:numCache>
            </c:numRef>
          </c:xVal>
          <c:yVal>
            <c:numRef>
              <c:f>'Mahlkönig EK43 (turkish)'!$E$4:$E$18</c:f>
              <c:numCache>
                <c:formatCode>General</c:formatCode>
                <c:ptCount val="15"/>
                <c:pt idx="0">
                  <c:v>15.36</c:v>
                </c:pt>
                <c:pt idx="1">
                  <c:v>13.31</c:v>
                </c:pt>
                <c:pt idx="2">
                  <c:v>10.17</c:v>
                </c:pt>
                <c:pt idx="3">
                  <c:v>9.25</c:v>
                </c:pt>
                <c:pt idx="4">
                  <c:v>7.75</c:v>
                </c:pt>
                <c:pt idx="5">
                  <c:v>7.19</c:v>
                </c:pt>
                <c:pt idx="6">
                  <c:v>6.77</c:v>
                </c:pt>
                <c:pt idx="7">
                  <c:v>5.83</c:v>
                </c:pt>
                <c:pt idx="8">
                  <c:v>5.86</c:v>
                </c:pt>
                <c:pt idx="9">
                  <c:v>5.0999999999999996</c:v>
                </c:pt>
                <c:pt idx="10">
                  <c:v>4.5999999999999996</c:v>
                </c:pt>
                <c:pt idx="11">
                  <c:v>4.415</c:v>
                </c:pt>
                <c:pt idx="12">
                  <c:v>4.0250000000000004</c:v>
                </c:pt>
                <c:pt idx="13">
                  <c:v>3.88</c:v>
                </c:pt>
                <c:pt idx="14">
                  <c:v>3.12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46-4E9D-B170-DE0FD0B21B6B}"/>
            </c:ext>
          </c:extLst>
        </c:ser>
        <c:ser>
          <c:idx val="3"/>
          <c:order val="3"/>
          <c:tx>
            <c:strRef>
              <c:f>'Mahlkönig EK43 (turkish)'!$F$3</c:f>
              <c:strCache>
                <c:ptCount val="1"/>
                <c:pt idx="0">
                  <c:v>Fine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382874975619272"/>
                  <c:y val="-5.86787992560532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'Mahlkönig EK43 (turkish)'!$A$4:$A$18</c:f>
              <c:numCache>
                <c:formatCode>General</c:formatCode>
                <c:ptCount val="15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10.5</c:v>
                </c:pt>
                <c:pt idx="14">
                  <c:v>11</c:v>
                </c:pt>
              </c:numCache>
            </c:numRef>
          </c:xVal>
          <c:yVal>
            <c:numRef>
              <c:f>'Mahlkönig EK43 (turkish)'!$F$4:$F$18</c:f>
              <c:numCache>
                <c:formatCode>General</c:formatCode>
                <c:ptCount val="15"/>
                <c:pt idx="0">
                  <c:v>2.11</c:v>
                </c:pt>
                <c:pt idx="1">
                  <c:v>1.4</c:v>
                </c:pt>
                <c:pt idx="2">
                  <c:v>1.7</c:v>
                </c:pt>
                <c:pt idx="3">
                  <c:v>1.4</c:v>
                </c:pt>
                <c:pt idx="4">
                  <c:v>1.51</c:v>
                </c:pt>
                <c:pt idx="5">
                  <c:v>1.37</c:v>
                </c:pt>
                <c:pt idx="6">
                  <c:v>1.25</c:v>
                </c:pt>
                <c:pt idx="7">
                  <c:v>1.3</c:v>
                </c:pt>
                <c:pt idx="8">
                  <c:v>0.57999999999999996</c:v>
                </c:pt>
                <c:pt idx="9">
                  <c:v>1.0900000000000001</c:v>
                </c:pt>
                <c:pt idx="10">
                  <c:v>0.83</c:v>
                </c:pt>
                <c:pt idx="11">
                  <c:v>0.96499999999999997</c:v>
                </c:pt>
                <c:pt idx="12">
                  <c:v>0.62</c:v>
                </c:pt>
                <c:pt idx="13">
                  <c:v>0.82</c:v>
                </c:pt>
                <c:pt idx="14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46-4E9D-B170-DE0FD0B21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354048"/>
        <c:axId val="1234354768"/>
      </c:scatterChart>
      <c:valAx>
        <c:axId val="1234354048"/>
        <c:scaling>
          <c:orientation val="minMax"/>
          <c:max val="11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4354768"/>
        <c:crosses val="autoZero"/>
        <c:crossBetween val="midCat"/>
      </c:valAx>
      <c:valAx>
        <c:axId val="123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43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0</xdr:row>
      <xdr:rowOff>110490</xdr:rowOff>
    </xdr:from>
    <xdr:to>
      <xdr:col>16</xdr:col>
      <xdr:colOff>510540</xdr:colOff>
      <xdr:row>29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9DD4DB-A9E5-5BCB-9883-A7EA724E4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</xdr:colOff>
      <xdr:row>0</xdr:row>
      <xdr:rowOff>99060</xdr:rowOff>
    </xdr:from>
    <xdr:to>
      <xdr:col>16</xdr:col>
      <xdr:colOff>510540</xdr:colOff>
      <xdr:row>29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4A339-ECE0-DCEE-6E3D-6126667E7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0</xdr:row>
      <xdr:rowOff>76200</xdr:rowOff>
    </xdr:from>
    <xdr:to>
      <xdr:col>16</xdr:col>
      <xdr:colOff>518160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9086E-0A49-65AD-6DEE-5EDE7FABF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</xdr:colOff>
      <xdr:row>0</xdr:row>
      <xdr:rowOff>72390</xdr:rowOff>
    </xdr:from>
    <xdr:to>
      <xdr:col>16</xdr:col>
      <xdr:colOff>563880</xdr:colOff>
      <xdr:row>29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4910D8-442A-398C-4DEB-13A85F684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99060</xdr:rowOff>
    </xdr:from>
    <xdr:to>
      <xdr:col>16</xdr:col>
      <xdr:colOff>571500</xdr:colOff>
      <xdr:row>29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0D6913-D662-EF26-1778-477463886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CB57BC-9DFA-4944-BCB0-A2C721FB86B5}" name="Table1" displayName="Table1" ref="A3:G25" totalsRowShown="0">
  <autoFilter ref="A3:G25" xr:uid="{23CB57BC-9DFA-4944-BCB0-A2C721FB86B5}"/>
  <tableColumns count="7">
    <tableColumn id="1" xr3:uid="{840DAE8B-8E4A-4275-BF89-A40040A2CB33}" name="Value"/>
    <tableColumn id="2" xr3:uid="{FCF3321D-BF52-4F20-8DF4-A1C4856660BC}" name="Amount"/>
    <tableColumn id="3" xr3:uid="{BA9DDEEF-7604-4EEA-8BF7-40D4C97F5EE2}" name="Coarse" dataDxfId="25"/>
    <tableColumn id="4" xr3:uid="{D4AEF7FD-AFFB-4303-8E1F-85840BE795B3}" name="MidHigh" dataDxfId="24"/>
    <tableColumn id="5" xr3:uid="{3104B9F0-B3DA-4690-9225-D5398E0AF428}" name="MidLow" dataDxfId="23"/>
    <tableColumn id="6" xr3:uid="{E779BD20-31ED-4A89-97B6-414127E710B3}" name="Fine" dataDxfId="22"/>
    <tableColumn id="7" xr3:uid="{6EBB620B-B57D-41C2-85D4-5038AE22692F}" name="IsExtrapolated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28DBF9-4CD3-4F1D-8336-D5DD2B0994D7}" name="Table2" displayName="Table2" ref="A3:G24" totalsRowShown="0">
  <autoFilter ref="A3:G24" xr:uid="{6428DBF9-4CD3-4F1D-8336-D5DD2B0994D7}"/>
  <tableColumns count="7">
    <tableColumn id="1" xr3:uid="{32E52697-1795-4353-9670-C7595257C363}" name="Value"/>
    <tableColumn id="2" xr3:uid="{4851A3BF-DFE1-446A-928B-2121CB7DF1C5}" name="Amount"/>
    <tableColumn id="3" xr3:uid="{26183DAA-A334-477A-BDFB-54A7480BFC81}" name="Coarse" dataDxfId="20"/>
    <tableColumn id="4" xr3:uid="{C8FD050B-E15A-4B22-AAD9-6DB131EEB5F4}" name="MidHigh" dataDxfId="19"/>
    <tableColumn id="5" xr3:uid="{840BF275-E60C-473D-8E11-220FAC620E3B}" name="MidLow" dataDxfId="18"/>
    <tableColumn id="6" xr3:uid="{A5DC9E30-8FEF-473A-A115-B794C695CAD1}" name="Fine" dataDxfId="17"/>
    <tableColumn id="7" xr3:uid="{FE5AD13C-9194-405F-A9FE-EF1AA0403124}" name="IsExtrapolated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A722B8-A42F-4355-96AF-F20FDBAE164F}" name="Table4" displayName="Table4" ref="R3:Y114" totalsRowShown="0">
  <autoFilter ref="R3:Y114" xr:uid="{D8A722B8-A42F-4355-96AF-F20FDBAE164F}"/>
  <tableColumns count="8">
    <tableColumn id="1" xr3:uid="{62630130-899E-4188-9C6E-5D364D63C97D}" name="X-axis"/>
    <tableColumn id="2" xr3:uid="{B6A728B2-329A-4C41-B58C-21FF86A6C61A}" name="Sum" dataDxfId="16">
      <calculatedColumnFormula>SUM(T4:W4)</calculatedColumnFormula>
    </tableColumn>
    <tableColumn id="3" xr3:uid="{9CDAB617-024C-495B-A889-7323B446FD0B}" name="Coarse" dataDxfId="15">
      <calculatedColumnFormula xml:space="preserve"> -0.0008 * R4^2 + 0.4661 * R4 - 10.885</calculatedColumnFormula>
    </tableColumn>
    <tableColumn id="4" xr3:uid="{69403FD8-78D3-4255-9011-8AADA84FD2FA}" name="MidHigh" dataDxfId="14">
      <calculatedColumnFormula xml:space="preserve"> -0.0041 * R4^2 + 0.3041 * R4 + 4.9496</calculatedColumnFormula>
    </tableColumn>
    <tableColumn id="5" xr3:uid="{09C395A5-8646-4EC0-86EC-9C09215DBF86}" name="MidLow" dataDxfId="13">
      <calculatedColumnFormula xml:space="preserve"> -0.00009 * R4^3 + 0.0189 * R4^2 - 1.4434 * R4 + 44.941</calculatedColumnFormula>
    </tableColumn>
    <tableColumn id="6" xr3:uid="{C28B3E7E-F1FC-41CD-AA99-CD82DA1EA04C}" name="Fine" dataDxfId="12">
      <calculatedColumnFormula xml:space="preserve"> -0.005 * R4 + 0.728</calculatedColumnFormula>
    </tableColumn>
    <tableColumn id="7" xr3:uid="{78A99395-DE23-4B95-BB60-AC3A3E83235B}" name="IsExtrapolated"/>
    <tableColumn id="8" xr3:uid="{C719C152-89F9-4B03-9ABC-4F9827E423E2}" name="Sum/Amount" dataDxfId="11">
      <calculatedColumnFormula>S4/$R$2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426D6-1BC3-4B23-B3B4-85E12A555540}" name="Table14" displayName="Table14" ref="A3:G20" totalsRowShown="0">
  <autoFilter ref="A3:G20" xr:uid="{23CB57BC-9DFA-4944-BCB0-A2C721FB86B5}"/>
  <tableColumns count="7">
    <tableColumn id="1" xr3:uid="{D5F91E24-FFE3-4B87-998E-4D042556749C}" name="Value"/>
    <tableColumn id="2" xr3:uid="{DB3C8EF2-B381-459D-A825-7F5F1ABC8637}" name="Amount"/>
    <tableColumn id="3" xr3:uid="{7ECDA01B-0E0D-4A8F-B49A-D0BA56CE9B0F}" name="Coarse" dataDxfId="10"/>
    <tableColumn id="4" xr3:uid="{CCC18F42-BABD-47CC-89ED-E3F65027CF94}" name="MidHigh" dataDxfId="9"/>
    <tableColumn id="5" xr3:uid="{870EDB55-EAAA-4A8B-B9F5-C3B6D58961E6}" name="MidLow" dataDxfId="8"/>
    <tableColumn id="6" xr3:uid="{9BE45B66-A94D-4B67-A086-ACA4823836FB}" name="Fine" dataDxfId="7"/>
    <tableColumn id="7" xr3:uid="{523B9640-9475-41E1-88DB-C5FA873870CA}" name="IsExtrapolated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96D0DA-8AF6-4FD0-809C-7CA651E318A4}" name="Table147" displayName="Table147" ref="A3:G32" totalsRowShown="0">
  <autoFilter ref="A3:G32" xr:uid="{23CB57BC-9DFA-4944-BCB0-A2C721FB86B5}"/>
  <tableColumns count="7">
    <tableColumn id="1" xr3:uid="{4F84FF01-DE96-477A-B982-2BE48435B186}" name="Value"/>
    <tableColumn id="2" xr3:uid="{D85FE4F3-0007-418C-BE93-A50AB47EC67B}" name="Amount"/>
    <tableColumn id="3" xr3:uid="{4445EC41-B78A-40E3-85B1-FDE495819D47}" name="Coarse" dataDxfId="5"/>
    <tableColumn id="4" xr3:uid="{84E67842-74AC-4B7E-BD67-540B8FA19B3C}" name="MidHigh" dataDxfId="4"/>
    <tableColumn id="5" xr3:uid="{A729527D-A68E-4790-9757-C0B59A4DA266}" name="MidLow" dataDxfId="3"/>
    <tableColumn id="6" xr3:uid="{4BA79361-4CC9-4855-8890-3771BC828996}" name="Fine" dataDxfId="2"/>
    <tableColumn id="7" xr3:uid="{E42CD6A2-0D43-42A4-A8F1-58FE572161A3}" name="IsExtrapolated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5E7EA-B631-411D-860D-D84F007FA9D9}">
  <dimension ref="A1:AA25"/>
  <sheetViews>
    <sheetView tabSelected="1" workbookViewId="0">
      <selection activeCell="F33" sqref="F33"/>
    </sheetView>
  </sheetViews>
  <sheetFormatPr defaultRowHeight="15.6" x14ac:dyDescent="0.3"/>
  <cols>
    <col min="1" max="1" width="8.59765625" customWidth="1"/>
    <col min="2" max="2" width="14.09765625" customWidth="1"/>
    <col min="4" max="4" width="9.59765625" customWidth="1"/>
    <col min="5" max="5" width="9.19921875" customWidth="1"/>
    <col min="7" max="7" width="15.69921875" customWidth="1"/>
  </cols>
  <sheetData>
    <row r="1" spans="1:27" x14ac:dyDescent="0.3">
      <c r="A1" t="s">
        <v>64</v>
      </c>
      <c r="B1" t="s">
        <v>72</v>
      </c>
      <c r="C1" t="s">
        <v>65</v>
      </c>
      <c r="D1" t="s">
        <v>75</v>
      </c>
      <c r="R1" t="s">
        <v>67</v>
      </c>
    </row>
    <row r="2" spans="1:27" x14ac:dyDescent="0.3">
      <c r="A2" t="s">
        <v>74</v>
      </c>
      <c r="B2" t="s">
        <v>73</v>
      </c>
      <c r="C2" t="s">
        <v>62</v>
      </c>
      <c r="D2" t="b">
        <v>1</v>
      </c>
      <c r="R2">
        <v>30</v>
      </c>
    </row>
    <row r="3" spans="1:27" x14ac:dyDescent="0.3">
      <c r="A3" t="s">
        <v>66</v>
      </c>
      <c r="B3" t="s">
        <v>67</v>
      </c>
      <c r="C3" t="s">
        <v>68</v>
      </c>
      <c r="D3" t="s">
        <v>70</v>
      </c>
      <c r="E3" t="s">
        <v>71</v>
      </c>
      <c r="F3" t="s">
        <v>69</v>
      </c>
      <c r="G3" t="s">
        <v>76</v>
      </c>
      <c r="R3" t="s">
        <v>77</v>
      </c>
      <c r="S3" t="s">
        <v>66</v>
      </c>
      <c r="T3" t="s">
        <v>84</v>
      </c>
      <c r="U3" t="s">
        <v>68</v>
      </c>
      <c r="V3" t="s">
        <v>70</v>
      </c>
      <c r="W3" t="s">
        <v>71</v>
      </c>
      <c r="X3" t="s">
        <v>69</v>
      </c>
      <c r="Y3" t="s">
        <v>76</v>
      </c>
      <c r="Z3" t="s">
        <v>85</v>
      </c>
    </row>
    <row r="4" spans="1:27" x14ac:dyDescent="0.3">
      <c r="A4">
        <v>11</v>
      </c>
      <c r="B4">
        <v>30</v>
      </c>
      <c r="C4">
        <v>0.57999999999999996</v>
      </c>
      <c r="D4">
        <v>9.67</v>
      </c>
      <c r="E4">
        <v>18.72</v>
      </c>
      <c r="F4">
        <v>0.42</v>
      </c>
      <c r="G4" s="8" t="b">
        <v>0</v>
      </c>
      <c r="R4">
        <v>1.5</v>
      </c>
      <c r="S4">
        <v>12</v>
      </c>
      <c r="T4" s="8">
        <f t="shared" ref="T4:T14" si="0">SUM(U4:X4)</f>
        <v>29.408437499999998</v>
      </c>
      <c r="U4" s="8">
        <f t="shared" ref="U4:U14" si="1">-0.0525 * R4^3 + 0.8975 * R4^2 - 1.5152 * R4 + 1.1891</f>
        <v>0.75848749999999998</v>
      </c>
      <c r="V4" s="9">
        <f t="shared" ref="V4:V14" si="2" xml:space="preserve"> 0.0522 * R4^3 - 1.0832 * R4^2 + 5.4734 * R4 + 5.0324</f>
        <v>10.981475</v>
      </c>
      <c r="W4" s="9">
        <f xml:space="preserve"> 0.1961 * R4^2 - 3.9711 * R4 + 22.741</f>
        <v>17.225574999999999</v>
      </c>
      <c r="X4" s="9">
        <f xml:space="preserve"> -0.0324 * R4 + 0.4915</f>
        <v>0.44290000000000002</v>
      </c>
      <c r="Y4" t="b">
        <v>1</v>
      </c>
      <c r="Z4" s="8">
        <f>T4/$R$2</f>
        <v>0.98028124999999988</v>
      </c>
      <c r="AA4" s="8"/>
    </row>
    <row r="5" spans="1:27" x14ac:dyDescent="0.3">
      <c r="A5">
        <v>13</v>
      </c>
      <c r="B5">
        <v>30</v>
      </c>
      <c r="C5">
        <v>1.64</v>
      </c>
      <c r="D5">
        <v>11.55</v>
      </c>
      <c r="E5">
        <v>15.83</v>
      </c>
      <c r="F5">
        <v>0.4</v>
      </c>
      <c r="G5" s="8" t="b">
        <v>0</v>
      </c>
      <c r="R5">
        <v>2.5</v>
      </c>
      <c r="S5">
        <v>14</v>
      </c>
      <c r="T5" s="8">
        <f t="shared" si="0"/>
        <v>29.401062499999998</v>
      </c>
      <c r="U5" s="8">
        <f t="shared" si="1"/>
        <v>2.1901624999999996</v>
      </c>
      <c r="V5" s="9">
        <f t="shared" si="2"/>
        <v>12.761524999999999</v>
      </c>
      <c r="W5" s="9">
        <f t="shared" ref="W5:W14" si="3" xml:space="preserve"> 0.1961 * R5^2 - 3.9711 * R5 + 22.741</f>
        <v>14.038875000000001</v>
      </c>
      <c r="X5" s="9">
        <f t="shared" ref="X5:X14" si="4" xml:space="preserve"> -0.0324 * R5 + 0.4915</f>
        <v>0.41049999999999998</v>
      </c>
      <c r="Y5" t="b">
        <v>1</v>
      </c>
      <c r="Z5" s="8">
        <f t="shared" ref="Z5:Z13" si="5">T5/$R$2</f>
        <v>0.9800354166666666</v>
      </c>
      <c r="AA5" s="8"/>
    </row>
    <row r="6" spans="1:27" x14ac:dyDescent="0.3">
      <c r="A6">
        <v>15</v>
      </c>
      <c r="B6">
        <v>30</v>
      </c>
      <c r="C6" s="8">
        <v>2.7</v>
      </c>
      <c r="D6" s="8">
        <v>13.43</v>
      </c>
      <c r="E6" s="8">
        <v>12.93</v>
      </c>
      <c r="F6" s="8">
        <v>0.37</v>
      </c>
      <c r="G6" s="8" t="b">
        <v>0</v>
      </c>
      <c r="I6" s="7"/>
      <c r="J6" s="7"/>
      <c r="K6" s="7"/>
      <c r="R6">
        <v>3.5</v>
      </c>
      <c r="S6">
        <v>16</v>
      </c>
      <c r="T6" s="8">
        <f t="shared" si="0"/>
        <v>29.409987499999996</v>
      </c>
      <c r="U6" s="8">
        <f t="shared" si="1"/>
        <v>4.6293374999999983</v>
      </c>
      <c r="V6" s="9">
        <f t="shared" si="2"/>
        <v>13.158175</v>
      </c>
      <c r="W6" s="9">
        <f t="shared" si="3"/>
        <v>11.244375</v>
      </c>
      <c r="X6" s="9">
        <f t="shared" si="4"/>
        <v>0.37809999999999999</v>
      </c>
      <c r="Y6" t="b">
        <v>1</v>
      </c>
      <c r="Z6" s="8">
        <f t="shared" si="5"/>
        <v>0.98033291666666655</v>
      </c>
      <c r="AA6" s="8"/>
    </row>
    <row r="7" spans="1:27" x14ac:dyDescent="0.3">
      <c r="A7">
        <v>17</v>
      </c>
      <c r="B7">
        <v>30</v>
      </c>
      <c r="C7" s="8">
        <v>5.89</v>
      </c>
      <c r="D7" s="8">
        <v>12.83</v>
      </c>
      <c r="E7" s="8">
        <v>10.08</v>
      </c>
      <c r="F7" s="8">
        <v>0.39</v>
      </c>
      <c r="G7" s="8" t="b">
        <v>0</v>
      </c>
      <c r="R7">
        <v>4.5</v>
      </c>
      <c r="S7">
        <v>18</v>
      </c>
      <c r="T7" s="8">
        <f t="shared" si="0"/>
        <v>29.433412499999996</v>
      </c>
      <c r="U7" s="8">
        <f t="shared" si="1"/>
        <v>7.7610124999999961</v>
      </c>
      <c r="V7" s="9">
        <f t="shared" si="2"/>
        <v>12.484624999999998</v>
      </c>
      <c r="W7" s="9">
        <f t="shared" si="3"/>
        <v>8.8420750000000012</v>
      </c>
      <c r="X7" s="9">
        <f t="shared" si="4"/>
        <v>0.34570000000000001</v>
      </c>
      <c r="Y7" t="b">
        <v>1</v>
      </c>
      <c r="Z7" s="8">
        <f t="shared" si="5"/>
        <v>0.9811137499999999</v>
      </c>
      <c r="AA7" s="8"/>
    </row>
    <row r="8" spans="1:27" x14ac:dyDescent="0.3">
      <c r="A8">
        <v>19</v>
      </c>
      <c r="B8">
        <v>30</v>
      </c>
      <c r="C8" s="8">
        <v>9.7100000000000009</v>
      </c>
      <c r="D8" s="8">
        <v>12.22</v>
      </c>
      <c r="E8" s="8">
        <v>7.23</v>
      </c>
      <c r="F8" s="8">
        <v>0.35</v>
      </c>
      <c r="G8" s="8" t="b">
        <v>0</v>
      </c>
      <c r="R8">
        <v>5.5</v>
      </c>
      <c r="S8">
        <v>20</v>
      </c>
      <c r="T8" s="8">
        <f t="shared" si="0"/>
        <v>29.469537500000005</v>
      </c>
      <c r="U8" s="8">
        <f t="shared" si="1"/>
        <v>11.270187499999999</v>
      </c>
      <c r="V8" s="9">
        <f t="shared" si="2"/>
        <v>11.054075000000005</v>
      </c>
      <c r="W8" s="9">
        <f t="shared" si="3"/>
        <v>6.8319749999999999</v>
      </c>
      <c r="X8" s="9">
        <f t="shared" si="4"/>
        <v>0.31330000000000002</v>
      </c>
      <c r="Y8" t="b">
        <v>1</v>
      </c>
      <c r="Z8" s="8">
        <f t="shared" si="5"/>
        <v>0.98231791666666679</v>
      </c>
      <c r="AA8" s="8"/>
    </row>
    <row r="9" spans="1:27" x14ac:dyDescent="0.3">
      <c r="A9">
        <v>21</v>
      </c>
      <c r="B9">
        <v>30</v>
      </c>
      <c r="C9" s="8">
        <v>13.35</v>
      </c>
      <c r="D9" s="8">
        <v>10.050000000000001</v>
      </c>
      <c r="E9" s="8">
        <v>5.86</v>
      </c>
      <c r="F9" s="8">
        <v>0.38</v>
      </c>
      <c r="G9" s="8" t="b">
        <v>0</v>
      </c>
      <c r="R9">
        <v>6.5</v>
      </c>
      <c r="S9">
        <v>22</v>
      </c>
      <c r="T9" s="8">
        <f t="shared" si="0"/>
        <v>29.516562499999996</v>
      </c>
      <c r="U9" s="8">
        <f t="shared" si="1"/>
        <v>14.841862499999994</v>
      </c>
      <c r="V9" s="9">
        <f t="shared" si="2"/>
        <v>9.1797250000000012</v>
      </c>
      <c r="W9" s="9">
        <f t="shared" si="3"/>
        <v>5.2140750000000011</v>
      </c>
      <c r="X9" s="9">
        <f t="shared" si="4"/>
        <v>0.28090000000000004</v>
      </c>
      <c r="Y9" t="b">
        <v>1</v>
      </c>
      <c r="Z9" s="8">
        <f t="shared" si="5"/>
        <v>0.98388541666666651</v>
      </c>
      <c r="AA9" s="8"/>
    </row>
    <row r="10" spans="1:27" x14ac:dyDescent="0.3">
      <c r="A10">
        <v>23</v>
      </c>
      <c r="B10">
        <v>30</v>
      </c>
      <c r="C10" s="8">
        <v>16.989999999999998</v>
      </c>
      <c r="D10" s="8">
        <v>7.88</v>
      </c>
      <c r="E10" s="8">
        <v>4.49</v>
      </c>
      <c r="F10" s="8">
        <v>0.3</v>
      </c>
      <c r="G10" s="8" t="b">
        <v>0</v>
      </c>
      <c r="R10">
        <v>7.5</v>
      </c>
      <c r="S10">
        <v>24</v>
      </c>
      <c r="T10" s="8">
        <f t="shared" si="0"/>
        <v>29.572687500000001</v>
      </c>
      <c r="U10" s="8">
        <f t="shared" si="1"/>
        <v>18.161037499999999</v>
      </c>
      <c r="V10" s="9">
        <f t="shared" si="2"/>
        <v>7.1747750000000012</v>
      </c>
      <c r="W10" s="9">
        <f t="shared" si="3"/>
        <v>3.9883750000000013</v>
      </c>
      <c r="X10" s="9">
        <f t="shared" si="4"/>
        <v>0.2485</v>
      </c>
      <c r="Y10" t="b">
        <v>1</v>
      </c>
      <c r="Z10" s="8">
        <f t="shared" si="5"/>
        <v>0.98575625</v>
      </c>
      <c r="AA10" s="8"/>
    </row>
    <row r="11" spans="1:27" x14ac:dyDescent="0.3">
      <c r="A11">
        <v>25</v>
      </c>
      <c r="B11">
        <v>30</v>
      </c>
      <c r="C11" s="8">
        <v>19.43</v>
      </c>
      <c r="D11" s="8">
        <v>6.19</v>
      </c>
      <c r="E11" s="8">
        <v>3.75</v>
      </c>
      <c r="F11" s="8">
        <v>0.24</v>
      </c>
      <c r="G11" s="8" t="b">
        <v>0</v>
      </c>
      <c r="R11">
        <v>8.5</v>
      </c>
      <c r="S11">
        <v>26</v>
      </c>
      <c r="T11" s="8">
        <f t="shared" si="0"/>
        <v>29.636112499999989</v>
      </c>
      <c r="U11" s="8">
        <f t="shared" si="1"/>
        <v>20.912712499999998</v>
      </c>
      <c r="V11" s="9">
        <f t="shared" si="2"/>
        <v>5.352424999999994</v>
      </c>
      <c r="W11" s="9">
        <f t="shared" si="3"/>
        <v>3.154874999999997</v>
      </c>
      <c r="X11" s="9">
        <f t="shared" si="4"/>
        <v>0.21610000000000001</v>
      </c>
      <c r="Y11" t="b">
        <v>1</v>
      </c>
      <c r="Z11" s="8">
        <f t="shared" si="5"/>
        <v>0.98787041666666631</v>
      </c>
      <c r="AA11" s="8"/>
    </row>
    <row r="12" spans="1:27" x14ac:dyDescent="0.3">
      <c r="A12">
        <v>27</v>
      </c>
      <c r="B12">
        <v>30</v>
      </c>
      <c r="C12" s="8">
        <v>21.88</v>
      </c>
      <c r="D12" s="8">
        <v>4.49</v>
      </c>
      <c r="E12" s="8">
        <v>3.01</v>
      </c>
      <c r="F12" s="8">
        <v>0.18</v>
      </c>
      <c r="G12" s="8" t="b">
        <v>0</v>
      </c>
      <c r="R12">
        <v>9.5</v>
      </c>
      <c r="S12">
        <v>28</v>
      </c>
      <c r="T12" s="8">
        <f t="shared" si="0"/>
        <v>29.705037500000014</v>
      </c>
      <c r="U12" s="8">
        <f t="shared" si="1"/>
        <v>22.781887500000003</v>
      </c>
      <c r="V12" s="9">
        <f t="shared" si="2"/>
        <v>4.0258750000000036</v>
      </c>
      <c r="W12" s="9">
        <f t="shared" si="3"/>
        <v>2.7135750000000058</v>
      </c>
      <c r="X12" s="9">
        <f t="shared" si="4"/>
        <v>0.18370000000000003</v>
      </c>
      <c r="Y12" t="b">
        <v>1</v>
      </c>
      <c r="Z12" s="8">
        <f t="shared" si="5"/>
        <v>0.99016791666666715</v>
      </c>
      <c r="AA12" s="8"/>
    </row>
    <row r="13" spans="1:27" x14ac:dyDescent="0.3">
      <c r="A13">
        <v>29</v>
      </c>
      <c r="B13">
        <v>30</v>
      </c>
      <c r="C13" s="8">
        <v>22.76</v>
      </c>
      <c r="D13" s="8">
        <v>3.96</v>
      </c>
      <c r="E13" s="8">
        <v>2.79</v>
      </c>
      <c r="F13" s="8">
        <v>0.14000000000000001</v>
      </c>
      <c r="G13" s="8" t="b">
        <v>0</v>
      </c>
      <c r="R13">
        <v>10.5</v>
      </c>
      <c r="S13">
        <v>30</v>
      </c>
      <c r="T13" s="8">
        <f t="shared" si="0"/>
        <v>29.777662499999995</v>
      </c>
      <c r="U13" s="8">
        <f t="shared" si="1"/>
        <v>23.45356249999999</v>
      </c>
      <c r="V13" s="9">
        <f t="shared" si="2"/>
        <v>3.5083250000000108</v>
      </c>
      <c r="W13" s="9">
        <f t="shared" si="3"/>
        <v>2.6644749999999959</v>
      </c>
      <c r="X13" s="9">
        <f t="shared" si="4"/>
        <v>0.15129999999999999</v>
      </c>
      <c r="Y13" t="b">
        <v>1</v>
      </c>
      <c r="Z13" s="8">
        <f t="shared" si="5"/>
        <v>0.9925887499999998</v>
      </c>
      <c r="AA13" s="8"/>
    </row>
    <row r="14" spans="1:27" x14ac:dyDescent="0.3">
      <c r="A14">
        <v>31</v>
      </c>
      <c r="B14">
        <v>30</v>
      </c>
      <c r="C14" s="8">
        <v>23.64</v>
      </c>
      <c r="D14" s="8">
        <v>3.43</v>
      </c>
      <c r="E14" s="8">
        <v>2.58</v>
      </c>
      <c r="F14" s="8">
        <v>0.1</v>
      </c>
      <c r="G14" s="8" t="b">
        <v>0</v>
      </c>
      <c r="R14">
        <v>11.5</v>
      </c>
      <c r="S14">
        <v>32</v>
      </c>
      <c r="T14" s="8">
        <f t="shared" si="0"/>
        <v>29.852187500000021</v>
      </c>
      <c r="U14" s="8">
        <f t="shared" si="1"/>
        <v>22.612737500000001</v>
      </c>
      <c r="V14" s="9">
        <f t="shared" si="2"/>
        <v>4.1129750000000174</v>
      </c>
      <c r="W14" s="9">
        <f t="shared" si="3"/>
        <v>3.0075750000000028</v>
      </c>
      <c r="X14" s="9">
        <f t="shared" si="4"/>
        <v>0.11890000000000001</v>
      </c>
      <c r="Y14" t="b">
        <v>1</v>
      </c>
      <c r="Z14" s="8">
        <f>T14/$R$2</f>
        <v>0.99507291666666731</v>
      </c>
      <c r="AA14" s="8"/>
    </row>
    <row r="15" spans="1:27" x14ac:dyDescent="0.3">
      <c r="A15">
        <v>12</v>
      </c>
      <c r="B15" s="8">
        <v>29.408437499999998</v>
      </c>
      <c r="C15" s="8">
        <v>0.75848749999999998</v>
      </c>
      <c r="D15" s="8">
        <v>10.981475</v>
      </c>
      <c r="E15" s="8">
        <v>17.225574999999999</v>
      </c>
      <c r="F15" s="8">
        <v>0.44290000000000002</v>
      </c>
      <c r="G15" s="8" t="b">
        <v>1</v>
      </c>
    </row>
    <row r="16" spans="1:27" x14ac:dyDescent="0.3">
      <c r="A16">
        <v>14</v>
      </c>
      <c r="B16" s="8">
        <v>29.401062499999998</v>
      </c>
      <c r="C16" s="8">
        <v>2.1901624999999996</v>
      </c>
      <c r="D16" s="8">
        <v>12.761524999999999</v>
      </c>
      <c r="E16" s="8">
        <v>14.038875000000001</v>
      </c>
      <c r="F16" s="8">
        <v>0.41049999999999998</v>
      </c>
      <c r="G16" s="8" t="b">
        <v>1</v>
      </c>
    </row>
    <row r="17" spans="1:7" x14ac:dyDescent="0.3">
      <c r="A17">
        <v>16</v>
      </c>
      <c r="B17" s="8">
        <v>29.409987499999996</v>
      </c>
      <c r="C17" s="8">
        <v>4.6293374999999983</v>
      </c>
      <c r="D17" s="8">
        <v>13.158175</v>
      </c>
      <c r="E17" s="8">
        <v>11.244375</v>
      </c>
      <c r="F17" s="8">
        <v>0.37809999999999999</v>
      </c>
      <c r="G17" s="8" t="b">
        <v>1</v>
      </c>
    </row>
    <row r="18" spans="1:7" x14ac:dyDescent="0.3">
      <c r="A18">
        <v>18</v>
      </c>
      <c r="B18" s="8">
        <v>29.433412499999996</v>
      </c>
      <c r="C18" s="8">
        <v>7.7610124999999961</v>
      </c>
      <c r="D18" s="8">
        <v>12.484624999999998</v>
      </c>
      <c r="E18" s="8">
        <v>8.8420750000000012</v>
      </c>
      <c r="F18" s="8">
        <v>0.34570000000000001</v>
      </c>
      <c r="G18" s="8" t="b">
        <v>1</v>
      </c>
    </row>
    <row r="19" spans="1:7" x14ac:dyDescent="0.3">
      <c r="A19">
        <v>20</v>
      </c>
      <c r="B19" s="8">
        <v>29.469537500000005</v>
      </c>
      <c r="C19" s="8">
        <v>11.270187499999999</v>
      </c>
      <c r="D19" s="8">
        <v>11.054075000000005</v>
      </c>
      <c r="E19" s="8">
        <v>6.8319749999999999</v>
      </c>
      <c r="F19" s="8">
        <v>0.31330000000000002</v>
      </c>
      <c r="G19" s="8" t="b">
        <v>1</v>
      </c>
    </row>
    <row r="20" spans="1:7" x14ac:dyDescent="0.3">
      <c r="A20">
        <v>22</v>
      </c>
      <c r="B20" s="8">
        <v>29.516562499999996</v>
      </c>
      <c r="C20" s="8">
        <v>14.841862499999994</v>
      </c>
      <c r="D20" s="8">
        <v>9.1797250000000012</v>
      </c>
      <c r="E20" s="8">
        <v>5.2140750000000011</v>
      </c>
      <c r="F20" s="8">
        <v>0.28090000000000004</v>
      </c>
      <c r="G20" s="8" t="b">
        <v>1</v>
      </c>
    </row>
    <row r="21" spans="1:7" x14ac:dyDescent="0.3">
      <c r="A21">
        <v>24</v>
      </c>
      <c r="B21" s="8">
        <v>29.572687500000001</v>
      </c>
      <c r="C21" s="8">
        <v>18.161037499999999</v>
      </c>
      <c r="D21" s="8">
        <v>7.1747750000000012</v>
      </c>
      <c r="E21" s="8">
        <v>3.9883750000000013</v>
      </c>
      <c r="F21" s="8">
        <v>0.2485</v>
      </c>
      <c r="G21" s="8" t="b">
        <v>1</v>
      </c>
    </row>
    <row r="22" spans="1:7" x14ac:dyDescent="0.3">
      <c r="A22">
        <v>26</v>
      </c>
      <c r="B22" s="8">
        <v>29.636112499999989</v>
      </c>
      <c r="C22" s="8">
        <v>20.912712499999998</v>
      </c>
      <c r="D22" s="8">
        <v>5.352424999999994</v>
      </c>
      <c r="E22" s="8">
        <v>3.154874999999997</v>
      </c>
      <c r="F22" s="8">
        <v>0.21610000000000001</v>
      </c>
      <c r="G22" s="8" t="b">
        <v>1</v>
      </c>
    </row>
    <row r="23" spans="1:7" x14ac:dyDescent="0.3">
      <c r="A23">
        <v>28</v>
      </c>
      <c r="B23" s="8">
        <v>29.705037500000014</v>
      </c>
      <c r="C23" s="8">
        <v>22.781887500000003</v>
      </c>
      <c r="D23" s="8">
        <v>4.0258750000000036</v>
      </c>
      <c r="E23" s="8">
        <v>2.7135750000000058</v>
      </c>
      <c r="F23" s="8">
        <v>0.18370000000000003</v>
      </c>
      <c r="G23" s="8" t="b">
        <v>1</v>
      </c>
    </row>
    <row r="24" spans="1:7" x14ac:dyDescent="0.3">
      <c r="A24">
        <v>30</v>
      </c>
      <c r="B24" s="8">
        <v>29.777662499999995</v>
      </c>
      <c r="C24" s="8">
        <v>23.45356249999999</v>
      </c>
      <c r="D24" s="8">
        <v>3.5083250000000108</v>
      </c>
      <c r="E24" s="8">
        <v>2.6644749999999959</v>
      </c>
      <c r="F24" s="8">
        <v>0.15129999999999999</v>
      </c>
      <c r="G24" s="8" t="b">
        <v>1</v>
      </c>
    </row>
    <row r="25" spans="1:7" x14ac:dyDescent="0.3">
      <c r="A25">
        <v>32</v>
      </c>
      <c r="B25" s="8">
        <v>29.852187500000021</v>
      </c>
      <c r="C25" s="8">
        <v>22.612737500000001</v>
      </c>
      <c r="D25" s="8">
        <v>4.1129750000000174</v>
      </c>
      <c r="E25" s="8">
        <v>3.0075750000000028</v>
      </c>
      <c r="F25" s="8">
        <v>0.11890000000000001</v>
      </c>
      <c r="G25" s="8" t="b">
        <v>1</v>
      </c>
    </row>
  </sheetData>
  <conditionalFormatting sqref="Z4:Z14">
    <cfRule type="colorScale" priority="1">
      <colorScale>
        <cfvo type="num" val="0"/>
        <cfvo type="num" val="1"/>
        <cfvo type="num" val="2"/>
        <color rgb="FFF8696B"/>
        <color rgb="FF92D050"/>
        <color rgb="FF00B0F0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F0A32-3E75-4E2C-BAC0-DEB99AA06A3E}">
  <dimension ref="A1:AA24"/>
  <sheetViews>
    <sheetView workbookViewId="0">
      <selection activeCell="R1" sqref="R1:Z13"/>
    </sheetView>
  </sheetViews>
  <sheetFormatPr defaultRowHeight="15.6" x14ac:dyDescent="0.3"/>
  <cols>
    <col min="2" max="2" width="15.5" customWidth="1"/>
    <col min="4" max="4" width="9.59765625" customWidth="1"/>
    <col min="5" max="5" width="9.19921875" customWidth="1"/>
    <col min="7" max="7" width="14.69921875" customWidth="1"/>
  </cols>
  <sheetData>
    <row r="1" spans="1:27" x14ac:dyDescent="0.3">
      <c r="A1" t="s">
        <v>64</v>
      </c>
      <c r="B1" t="s">
        <v>72</v>
      </c>
      <c r="C1" t="s">
        <v>65</v>
      </c>
      <c r="D1" t="s">
        <v>75</v>
      </c>
      <c r="R1" t="s">
        <v>67</v>
      </c>
    </row>
    <row r="2" spans="1:27" x14ac:dyDescent="0.3">
      <c r="A2" t="s">
        <v>80</v>
      </c>
      <c r="B2" t="s">
        <v>78</v>
      </c>
      <c r="C2" t="s">
        <v>79</v>
      </c>
      <c r="D2" t="b">
        <v>0</v>
      </c>
      <c r="R2">
        <v>30</v>
      </c>
    </row>
    <row r="3" spans="1:27" x14ac:dyDescent="0.3">
      <c r="A3" t="s">
        <v>66</v>
      </c>
      <c r="B3" t="s">
        <v>67</v>
      </c>
      <c r="C3" t="s">
        <v>68</v>
      </c>
      <c r="D3" t="s">
        <v>70</v>
      </c>
      <c r="E3" t="s">
        <v>71</v>
      </c>
      <c r="F3" t="s">
        <v>69</v>
      </c>
      <c r="G3" t="s">
        <v>76</v>
      </c>
      <c r="R3" t="s">
        <v>77</v>
      </c>
      <c r="S3" t="s">
        <v>66</v>
      </c>
      <c r="T3" t="s">
        <v>84</v>
      </c>
      <c r="U3" t="s">
        <v>68</v>
      </c>
      <c r="V3" t="s">
        <v>70</v>
      </c>
      <c r="W3" t="s">
        <v>71</v>
      </c>
      <c r="X3" t="s">
        <v>69</v>
      </c>
      <c r="Y3" t="s">
        <v>76</v>
      </c>
      <c r="Z3" t="s">
        <v>85</v>
      </c>
    </row>
    <row r="4" spans="1:27" x14ac:dyDescent="0.3">
      <c r="A4">
        <v>4</v>
      </c>
      <c r="B4">
        <v>30</v>
      </c>
      <c r="C4" s="9">
        <v>1.1200000000000001</v>
      </c>
      <c r="D4" s="8">
        <v>12.86</v>
      </c>
      <c r="E4" s="8">
        <v>14.9</v>
      </c>
      <c r="F4" s="8">
        <v>0.65</v>
      </c>
      <c r="G4" t="b">
        <v>0</v>
      </c>
      <c r="R4">
        <v>1.5</v>
      </c>
      <c r="S4">
        <v>4.25</v>
      </c>
      <c r="T4" s="8">
        <f t="shared" ref="T4:T13" si="0">SUM(U4:X4)</f>
        <v>29.574263809324318</v>
      </c>
      <c r="U4">
        <f>0.0034 * R4^4 - 0.1104 * R4^3 + 1.1088 * R4^2 - 1.4902 * R4 + 1.5273</f>
        <v>1.4314125000000002</v>
      </c>
      <c r="V4" s="11">
        <f xml:space="preserve"> -0.0048 * R4^4 + 0.1616 * R4^3 - 1.817 * R4^2 + 6.3994 * R4 + 8.18</f>
        <v>14.21195</v>
      </c>
      <c r="W4" s="11">
        <f xml:space="preserve"> 0.0013 * R4^4 - 0.0469 * R4^3 + 0.6464 * R4^2 - 4.5466 * R4 + 18.922</f>
        <v>13.404793750000001</v>
      </c>
      <c r="X4" s="11">
        <f xml:space="preserve"> -0.145 * LN(R4) + 0.5849</f>
        <v>0.52610755932431619</v>
      </c>
      <c r="Y4" t="b">
        <v>1</v>
      </c>
      <c r="Z4" s="8">
        <f>T4/$R$2</f>
        <v>0.98580879364414398</v>
      </c>
    </row>
    <row r="5" spans="1:27" x14ac:dyDescent="0.3">
      <c r="A5">
        <v>4.5</v>
      </c>
      <c r="B5">
        <v>30</v>
      </c>
      <c r="C5" s="8">
        <v>2.13</v>
      </c>
      <c r="D5" s="8">
        <v>14.99</v>
      </c>
      <c r="E5" s="8">
        <v>12.17</v>
      </c>
      <c r="F5" s="8">
        <v>0.46</v>
      </c>
      <c r="G5" t="b">
        <v>0</v>
      </c>
      <c r="R5">
        <v>2.5</v>
      </c>
      <c r="S5">
        <v>4.75</v>
      </c>
      <c r="T5" s="8">
        <f t="shared" si="0"/>
        <v>29.664869093878249</v>
      </c>
      <c r="U5">
        <f t="shared" ref="U5:U13" si="1">0.0034 * R5^4 - 0.1104 * R5^3 + 1.1088 * R5^2 - 1.4902 * R5 + 1.5273</f>
        <v>3.1396125000000001</v>
      </c>
      <c r="V5" s="11">
        <f t="shared" ref="V5:V13" si="2" xml:space="preserve"> -0.0048 * R5^4 + 0.1616 * R5^3 - 1.817 * R5^2 + 6.3994 * R5 + 8.18</f>
        <v>15.159750000000001</v>
      </c>
      <c r="W5" s="11">
        <f t="shared" ref="W5:W13" si="3" xml:space="preserve"> 0.0013 * R5^4 - 0.0469 * R5^3 + 0.6464 * R5^2 - 4.5466 * R5 + 18.922</f>
        <v>10.913468750000002</v>
      </c>
      <c r="X5" s="11">
        <f t="shared" ref="X5:X13" si="4" xml:space="preserve"> -0.145 * LN(R5) + 0.5849</f>
        <v>0.45203784387824752</v>
      </c>
      <c r="Y5" t="b">
        <v>1</v>
      </c>
      <c r="Z5" s="8">
        <f t="shared" ref="Z5:Z13" si="5">T5/$R$2</f>
        <v>0.98882896979594159</v>
      </c>
    </row>
    <row r="6" spans="1:27" x14ac:dyDescent="0.3">
      <c r="A6">
        <v>5</v>
      </c>
      <c r="B6">
        <v>30</v>
      </c>
      <c r="C6" s="8">
        <v>3.95</v>
      </c>
      <c r="D6" s="8">
        <v>15.19</v>
      </c>
      <c r="E6" s="8">
        <v>10.029999999999999</v>
      </c>
      <c r="F6" s="8">
        <v>0.45</v>
      </c>
      <c r="G6" t="b">
        <v>0</v>
      </c>
      <c r="R6">
        <v>3.5</v>
      </c>
      <c r="S6">
        <v>5.25</v>
      </c>
      <c r="T6" s="8">
        <f t="shared" si="0"/>
        <v>29.713955619568175</v>
      </c>
      <c r="U6">
        <f t="shared" si="1"/>
        <v>5.6712125000000011</v>
      </c>
      <c r="V6" s="11">
        <f t="shared" si="2"/>
        <v>14.527949999999997</v>
      </c>
      <c r="W6" s="11">
        <f t="shared" si="3"/>
        <v>9.1115437500000009</v>
      </c>
      <c r="X6" s="11">
        <f t="shared" si="4"/>
        <v>0.40324936956817159</v>
      </c>
      <c r="Y6" t="b">
        <v>1</v>
      </c>
      <c r="Z6" s="8">
        <f t="shared" si="5"/>
        <v>0.99046518731893918</v>
      </c>
    </row>
    <row r="7" spans="1:27" x14ac:dyDescent="0.3">
      <c r="A7">
        <v>5.5</v>
      </c>
      <c r="B7">
        <v>30</v>
      </c>
      <c r="C7" s="8">
        <v>7.21</v>
      </c>
      <c r="D7" s="8">
        <v>13.65</v>
      </c>
      <c r="E7" s="8">
        <v>8.48</v>
      </c>
      <c r="F7" s="8">
        <v>0.33</v>
      </c>
      <c r="G7" t="b">
        <v>0</v>
      </c>
      <c r="R7">
        <v>4.5</v>
      </c>
      <c r="S7">
        <v>5.75</v>
      </c>
      <c r="T7" s="8">
        <f t="shared" si="0"/>
        <v>29.727190027467444</v>
      </c>
      <c r="U7">
        <f t="shared" si="1"/>
        <v>8.6086124999999996</v>
      </c>
      <c r="V7" s="11">
        <f t="shared" si="2"/>
        <v>12.940550000000002</v>
      </c>
      <c r="W7" s="11">
        <f t="shared" si="3"/>
        <v>7.8112187500000019</v>
      </c>
      <c r="X7" s="11">
        <f t="shared" si="4"/>
        <v>0.36680877746744023</v>
      </c>
      <c r="Y7" t="b">
        <v>1</v>
      </c>
      <c r="Z7" s="8">
        <f t="shared" si="5"/>
        <v>0.99090633424891483</v>
      </c>
    </row>
    <row r="8" spans="1:27" x14ac:dyDescent="0.3">
      <c r="A8">
        <v>6</v>
      </c>
      <c r="B8">
        <v>30</v>
      </c>
      <c r="C8" s="8">
        <v>10.88</v>
      </c>
      <c r="D8" s="8">
        <v>11.66</v>
      </c>
      <c r="E8" s="8">
        <v>6.79</v>
      </c>
      <c r="F8" s="8">
        <v>0.27</v>
      </c>
      <c r="G8" t="b">
        <v>0</v>
      </c>
      <c r="R8">
        <v>5.5</v>
      </c>
      <c r="S8">
        <v>6.25</v>
      </c>
      <c r="T8" s="8">
        <f t="shared" si="0"/>
        <v>29.715767776625437</v>
      </c>
      <c r="U8">
        <f t="shared" si="1"/>
        <v>11.615812500000006</v>
      </c>
      <c r="V8" s="11">
        <f t="shared" si="2"/>
        <v>10.906350000000003</v>
      </c>
      <c r="W8" s="11">
        <f t="shared" si="3"/>
        <v>6.8558937499999999</v>
      </c>
      <c r="X8" s="11">
        <f t="shared" si="4"/>
        <v>0.33771152662542836</v>
      </c>
      <c r="Y8" t="b">
        <v>1</v>
      </c>
      <c r="Z8" s="8">
        <f t="shared" si="5"/>
        <v>0.99052559255418127</v>
      </c>
    </row>
    <row r="9" spans="1:27" x14ac:dyDescent="0.3">
      <c r="A9">
        <v>6.5</v>
      </c>
      <c r="B9">
        <v>30</v>
      </c>
      <c r="C9" s="8">
        <v>12.6</v>
      </c>
      <c r="D9" s="8">
        <v>10.07</v>
      </c>
      <c r="E9" s="8">
        <v>6.73</v>
      </c>
      <c r="F9" s="8">
        <v>0.2</v>
      </c>
      <c r="G9" t="b">
        <v>0</v>
      </c>
      <c r="I9" s="10" t="s">
        <v>63</v>
      </c>
      <c r="J9" s="10" t="s">
        <v>63</v>
      </c>
      <c r="K9" s="10" t="s">
        <v>63</v>
      </c>
      <c r="R9">
        <v>6.5</v>
      </c>
      <c r="S9">
        <v>6.75</v>
      </c>
      <c r="T9" s="8">
        <f t="shared" si="0"/>
        <v>29.691019934349274</v>
      </c>
      <c r="U9">
        <f t="shared" si="1"/>
        <v>14.438412500000002</v>
      </c>
      <c r="V9" s="11">
        <f t="shared" si="2"/>
        <v>8.818950000000001</v>
      </c>
      <c r="W9" s="11">
        <f t="shared" si="3"/>
        <v>6.1201687500000013</v>
      </c>
      <c r="X9" s="11">
        <f t="shared" si="4"/>
        <v>0.31348868434926924</v>
      </c>
      <c r="Y9" t="b">
        <v>1</v>
      </c>
      <c r="Z9" s="8">
        <f t="shared" si="5"/>
        <v>0.98970066447830918</v>
      </c>
    </row>
    <row r="10" spans="1:27" x14ac:dyDescent="0.3">
      <c r="A10">
        <v>7</v>
      </c>
      <c r="B10">
        <v>30</v>
      </c>
      <c r="C10" s="8">
        <v>15.6</v>
      </c>
      <c r="D10" s="8">
        <v>7.95</v>
      </c>
      <c r="E10" s="8">
        <v>5.88</v>
      </c>
      <c r="F10" s="8">
        <v>0.33</v>
      </c>
      <c r="G10" t="b">
        <v>0</v>
      </c>
      <c r="R10">
        <v>7.5</v>
      </c>
      <c r="S10">
        <v>7.25</v>
      </c>
      <c r="T10" s="8">
        <f t="shared" si="0"/>
        <v>29.662945312021375</v>
      </c>
      <c r="U10">
        <f t="shared" si="1"/>
        <v>16.903612500000001</v>
      </c>
      <c r="V10" s="11">
        <f t="shared" si="2"/>
        <v>6.9567499999999995</v>
      </c>
      <c r="W10" s="11">
        <f t="shared" si="3"/>
        <v>5.5098437500000017</v>
      </c>
      <c r="X10" s="11">
        <f t="shared" si="4"/>
        <v>0.29273906202137162</v>
      </c>
      <c r="Y10" t="b">
        <v>1</v>
      </c>
      <c r="Z10" s="8">
        <f t="shared" si="5"/>
        <v>0.98876484373404583</v>
      </c>
    </row>
    <row r="11" spans="1:27" x14ac:dyDescent="0.3">
      <c r="A11">
        <v>7.5</v>
      </c>
      <c r="B11">
        <v>30</v>
      </c>
      <c r="C11" s="8">
        <v>17.72</v>
      </c>
      <c r="D11" s="8">
        <v>6.1</v>
      </c>
      <c r="E11" s="8">
        <v>5.55</v>
      </c>
      <c r="F11" s="8">
        <v>0.35</v>
      </c>
      <c r="G11" t="b">
        <v>0</v>
      </c>
      <c r="R11">
        <v>8.5</v>
      </c>
      <c r="S11">
        <v>7.75</v>
      </c>
      <c r="T11" s="8">
        <f t="shared" si="0"/>
        <v>29.639671656293046</v>
      </c>
      <c r="U11">
        <f t="shared" si="1"/>
        <v>18.920212499999987</v>
      </c>
      <c r="V11" s="11">
        <f t="shared" si="2"/>
        <v>5.4829500000000166</v>
      </c>
      <c r="W11" s="11">
        <f t="shared" si="3"/>
        <v>4.9619187500000024</v>
      </c>
      <c r="X11" s="11">
        <f t="shared" si="4"/>
        <v>0.27459040629304071</v>
      </c>
      <c r="Y11" t="b">
        <v>1</v>
      </c>
      <c r="Z11" s="8">
        <f t="shared" si="5"/>
        <v>0.98798905520976821</v>
      </c>
    </row>
    <row r="12" spans="1:27" x14ac:dyDescent="0.3">
      <c r="A12">
        <v>8</v>
      </c>
      <c r="B12">
        <v>30</v>
      </c>
      <c r="C12" s="8">
        <v>19.87</v>
      </c>
      <c r="D12" s="8">
        <v>4.8899999999999997</v>
      </c>
      <c r="E12" s="8">
        <v>4.59</v>
      </c>
      <c r="F12" s="8">
        <v>0.33</v>
      </c>
      <c r="G12" t="b">
        <v>0</v>
      </c>
      <c r="R12">
        <v>9.5</v>
      </c>
      <c r="S12">
        <v>8.25</v>
      </c>
      <c r="T12" s="8">
        <f t="shared" si="0"/>
        <v>29.627218939202034</v>
      </c>
      <c r="U12">
        <f t="shared" si="1"/>
        <v>20.478612499999993</v>
      </c>
      <c r="V12" s="11">
        <f t="shared" si="2"/>
        <v>4.445549999999983</v>
      </c>
      <c r="W12" s="11">
        <f t="shared" si="3"/>
        <v>4.4445937499999992</v>
      </c>
      <c r="X12" s="11">
        <f t="shared" si="4"/>
        <v>0.25846268920205817</v>
      </c>
      <c r="Y12" t="b">
        <v>1</v>
      </c>
      <c r="Z12" s="8">
        <f t="shared" si="5"/>
        <v>0.98757396464006786</v>
      </c>
    </row>
    <row r="13" spans="1:27" x14ac:dyDescent="0.3">
      <c r="A13">
        <v>8.5</v>
      </c>
      <c r="B13">
        <v>30</v>
      </c>
      <c r="C13" s="8">
        <v>21.22</v>
      </c>
      <c r="D13" s="8">
        <v>3.9</v>
      </c>
      <c r="E13" s="8">
        <v>4.1900000000000004</v>
      </c>
      <c r="F13" s="8">
        <v>0.24</v>
      </c>
      <c r="G13" t="b">
        <v>0</v>
      </c>
      <c r="R13">
        <v>10.5</v>
      </c>
      <c r="S13">
        <v>8.75</v>
      </c>
      <c r="T13" s="8">
        <f t="shared" si="0"/>
        <v>29.62938183771125</v>
      </c>
      <c r="U13">
        <f t="shared" si="1"/>
        <v>21.650812499999983</v>
      </c>
      <c r="V13" s="11">
        <f t="shared" si="2"/>
        <v>3.7773499999999771</v>
      </c>
      <c r="W13" s="11">
        <f t="shared" si="3"/>
        <v>3.9572687499999937</v>
      </c>
      <c r="X13" s="11">
        <f t="shared" si="4"/>
        <v>0.24395058771129574</v>
      </c>
      <c r="Y13" t="b">
        <v>1</v>
      </c>
      <c r="Z13" s="8">
        <f t="shared" si="5"/>
        <v>0.98764606125704169</v>
      </c>
    </row>
    <row r="14" spans="1:27" x14ac:dyDescent="0.3">
      <c r="A14">
        <v>9</v>
      </c>
      <c r="B14">
        <v>30</v>
      </c>
      <c r="C14" s="8">
        <v>21.89</v>
      </c>
      <c r="D14" s="8">
        <v>3.51</v>
      </c>
      <c r="E14" s="8">
        <v>3.99</v>
      </c>
      <c r="F14" s="8">
        <v>0.28000000000000003</v>
      </c>
      <c r="G14" t="b">
        <v>0</v>
      </c>
      <c r="V14" s="11"/>
      <c r="W14" s="11"/>
      <c r="X14" s="11"/>
      <c r="Z14" s="8"/>
      <c r="AA14" s="8"/>
    </row>
    <row r="15" spans="1:27" x14ac:dyDescent="0.3">
      <c r="A15">
        <v>4.25</v>
      </c>
      <c r="B15" s="8">
        <v>29.574263809324318</v>
      </c>
      <c r="C15" s="8">
        <v>1.4314125000000002</v>
      </c>
      <c r="D15" s="8">
        <v>14.21195</v>
      </c>
      <c r="E15" s="8">
        <v>13.404793750000001</v>
      </c>
      <c r="F15" s="8">
        <v>0.52610755932431619</v>
      </c>
      <c r="G15" t="b">
        <v>1</v>
      </c>
    </row>
    <row r="16" spans="1:27" x14ac:dyDescent="0.3">
      <c r="A16">
        <v>4.75</v>
      </c>
      <c r="B16" s="8">
        <v>29.664869093878249</v>
      </c>
      <c r="C16" s="8">
        <v>3.1396125000000001</v>
      </c>
      <c r="D16" s="8">
        <v>15.159750000000001</v>
      </c>
      <c r="E16" s="8">
        <v>10.913468750000002</v>
      </c>
      <c r="F16" s="8">
        <v>0.45203784387824752</v>
      </c>
      <c r="G16" t="b">
        <v>1</v>
      </c>
    </row>
    <row r="17" spans="1:7" x14ac:dyDescent="0.3">
      <c r="A17">
        <v>5.25</v>
      </c>
      <c r="B17" s="8">
        <v>29.713955619568175</v>
      </c>
      <c r="C17" s="8">
        <v>5.6712125000000011</v>
      </c>
      <c r="D17" s="8">
        <v>14.527949999999997</v>
      </c>
      <c r="E17" s="8">
        <v>9.1115437500000009</v>
      </c>
      <c r="F17" s="8">
        <v>0.40324936956817159</v>
      </c>
      <c r="G17" t="b">
        <v>1</v>
      </c>
    </row>
    <row r="18" spans="1:7" x14ac:dyDescent="0.3">
      <c r="A18">
        <v>5.75</v>
      </c>
      <c r="B18" s="8">
        <v>29.727190027467444</v>
      </c>
      <c r="C18" s="8">
        <v>8.6086124999999996</v>
      </c>
      <c r="D18" s="8">
        <v>12.940550000000002</v>
      </c>
      <c r="E18" s="8">
        <v>7.8112187500000019</v>
      </c>
      <c r="F18" s="8">
        <v>0.36680877746744023</v>
      </c>
      <c r="G18" t="b">
        <v>1</v>
      </c>
    </row>
    <row r="19" spans="1:7" x14ac:dyDescent="0.3">
      <c r="A19">
        <v>6.25</v>
      </c>
      <c r="B19" s="8">
        <v>29.715767776625437</v>
      </c>
      <c r="C19" s="8">
        <v>11.615812500000006</v>
      </c>
      <c r="D19" s="8">
        <v>10.906350000000003</v>
      </c>
      <c r="E19" s="8">
        <v>6.8558937499999999</v>
      </c>
      <c r="F19" s="8">
        <v>0.33771152662542836</v>
      </c>
      <c r="G19" t="b">
        <v>1</v>
      </c>
    </row>
    <row r="20" spans="1:7" x14ac:dyDescent="0.3">
      <c r="A20">
        <v>6.75</v>
      </c>
      <c r="B20" s="8">
        <v>29.691019934349274</v>
      </c>
      <c r="C20" s="8">
        <v>14.438412500000002</v>
      </c>
      <c r="D20" s="8">
        <v>8.818950000000001</v>
      </c>
      <c r="E20" s="8">
        <v>6.1201687500000013</v>
      </c>
      <c r="F20" s="8">
        <v>0.31348868434926924</v>
      </c>
      <c r="G20" t="b">
        <v>1</v>
      </c>
    </row>
    <row r="21" spans="1:7" x14ac:dyDescent="0.3">
      <c r="A21">
        <v>7.25</v>
      </c>
      <c r="B21" s="8">
        <v>29.662945312021375</v>
      </c>
      <c r="C21" s="8">
        <v>16.903612500000001</v>
      </c>
      <c r="D21" s="8">
        <v>6.9567499999999995</v>
      </c>
      <c r="E21" s="8">
        <v>5.5098437500000017</v>
      </c>
      <c r="F21" s="8">
        <v>0.29273906202137162</v>
      </c>
      <c r="G21" t="b">
        <v>1</v>
      </c>
    </row>
    <row r="22" spans="1:7" x14ac:dyDescent="0.3">
      <c r="A22">
        <v>7.75</v>
      </c>
      <c r="B22" s="8">
        <v>29.639671656293046</v>
      </c>
      <c r="C22" s="8">
        <v>18.920212499999987</v>
      </c>
      <c r="D22" s="8">
        <v>5.4829500000000166</v>
      </c>
      <c r="E22" s="8">
        <v>4.9619187500000024</v>
      </c>
      <c r="F22" s="8">
        <v>0.27459040629304071</v>
      </c>
      <c r="G22" t="b">
        <v>1</v>
      </c>
    </row>
    <row r="23" spans="1:7" x14ac:dyDescent="0.3">
      <c r="A23">
        <v>8.25</v>
      </c>
      <c r="B23" s="8">
        <v>29.627218939202034</v>
      </c>
      <c r="C23" s="8">
        <v>20.478612499999993</v>
      </c>
      <c r="D23" s="8">
        <v>4.445549999999983</v>
      </c>
      <c r="E23" s="8">
        <v>4.4445937499999992</v>
      </c>
      <c r="F23" s="8">
        <v>0.25846268920205817</v>
      </c>
      <c r="G23" t="b">
        <v>1</v>
      </c>
    </row>
    <row r="24" spans="1:7" x14ac:dyDescent="0.3">
      <c r="A24">
        <v>8.75</v>
      </c>
      <c r="B24" s="8">
        <v>29.62938183771125</v>
      </c>
      <c r="C24" s="8">
        <v>21.650812499999983</v>
      </c>
      <c r="D24" s="8">
        <v>3.7773499999999771</v>
      </c>
      <c r="E24" s="8">
        <v>3.9572687499999937</v>
      </c>
      <c r="F24" s="8">
        <v>0.24395058771129574</v>
      </c>
      <c r="G24" t="b">
        <v>1</v>
      </c>
    </row>
  </sheetData>
  <conditionalFormatting sqref="Z4:Z13">
    <cfRule type="colorScale" priority="1">
      <colorScale>
        <cfvo type="num" val="0"/>
        <cfvo type="num" val="1"/>
        <cfvo type="num" val="2"/>
        <color rgb="FFF8696B"/>
        <color rgb="FF92D050"/>
        <color rgb="FF00B0F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D3FD-579E-411A-ADE5-FA62B285AC57}">
  <dimension ref="A1:AE114"/>
  <sheetViews>
    <sheetView topLeftCell="C1" workbookViewId="0">
      <selection activeCell="X126" sqref="X126"/>
    </sheetView>
  </sheetViews>
  <sheetFormatPr defaultRowHeight="15.6" x14ac:dyDescent="0.3"/>
  <cols>
    <col min="1" max="1" width="8.296875" customWidth="1"/>
    <col min="2" max="2" width="15.59765625" customWidth="1"/>
    <col min="7" max="7" width="15.296875" customWidth="1"/>
    <col min="21" max="21" width="9.59765625" customWidth="1"/>
    <col min="22" max="22" width="9.19921875" customWidth="1"/>
    <col min="24" max="24" width="14.69921875" customWidth="1"/>
    <col min="25" max="25" width="13.796875" customWidth="1"/>
  </cols>
  <sheetData>
    <row r="1" spans="1:31" x14ac:dyDescent="0.3">
      <c r="A1" t="s">
        <v>64</v>
      </c>
      <c r="B1" t="s">
        <v>72</v>
      </c>
      <c r="C1" t="s">
        <v>65</v>
      </c>
      <c r="D1" t="s">
        <v>75</v>
      </c>
      <c r="R1" t="s">
        <v>67</v>
      </c>
    </row>
    <row r="2" spans="1:31" x14ac:dyDescent="0.3">
      <c r="A2" t="s">
        <v>81</v>
      </c>
      <c r="B2" t="s">
        <v>82</v>
      </c>
      <c r="C2" t="s">
        <v>83</v>
      </c>
      <c r="D2" t="b">
        <v>0</v>
      </c>
      <c r="R2">
        <v>30</v>
      </c>
    </row>
    <row r="3" spans="1:31" x14ac:dyDescent="0.3">
      <c r="A3" t="s">
        <v>66</v>
      </c>
      <c r="B3" t="s">
        <v>67</v>
      </c>
      <c r="C3" t="s">
        <v>68</v>
      </c>
      <c r="D3" t="s">
        <v>70</v>
      </c>
      <c r="E3" t="s">
        <v>71</v>
      </c>
      <c r="F3" t="s">
        <v>69</v>
      </c>
      <c r="G3" t="s">
        <v>76</v>
      </c>
      <c r="R3" t="s">
        <v>77</v>
      </c>
      <c r="S3" t="s">
        <v>84</v>
      </c>
      <c r="T3" t="s">
        <v>68</v>
      </c>
      <c r="U3" t="s">
        <v>70</v>
      </c>
      <c r="V3" t="s">
        <v>71</v>
      </c>
      <c r="W3" t="s">
        <v>69</v>
      </c>
      <c r="X3" t="s">
        <v>76</v>
      </c>
      <c r="Y3" t="s">
        <v>85</v>
      </c>
    </row>
    <row r="4" spans="1:31" x14ac:dyDescent="0.3">
      <c r="A4" s="7">
        <v>26</v>
      </c>
      <c r="B4">
        <v>30</v>
      </c>
      <c r="C4" s="8">
        <v>1.55</v>
      </c>
      <c r="D4" s="8">
        <v>8.81</v>
      </c>
      <c r="E4" s="8">
        <v>18.62</v>
      </c>
      <c r="F4" s="8">
        <v>0.48</v>
      </c>
      <c r="G4" t="b">
        <v>0</v>
      </c>
      <c r="J4" s="7"/>
      <c r="R4">
        <v>26</v>
      </c>
      <c r="S4" s="8">
        <f t="shared" ref="S4:S32" si="0">SUM(T4:W4)</f>
        <v>29.982560000000007</v>
      </c>
      <c r="T4" s="8">
        <f t="shared" ref="T4:T32" si="1" xml:space="preserve"> -0.0008 * R4^2 + 0.4661 * R4 - 10.885</f>
        <v>0.69280000000000008</v>
      </c>
      <c r="U4" s="9">
        <f t="shared" ref="U4:U32" si="2" xml:space="preserve"> -0.0041 * R4^2 + 0.3041 * R4 + 4.9496</f>
        <v>10.084599999999998</v>
      </c>
      <c r="V4" s="9">
        <f xml:space="preserve"> -0.00009 * R4^3 + 0.0189 * R4^2 - 1.4434 * R4 + 44.941</f>
        <v>18.607160000000007</v>
      </c>
      <c r="W4" s="9">
        <f t="shared" ref="W4:W32" si="3" xml:space="preserve"> -0.005 * R4 + 0.728</f>
        <v>0.59799999999999998</v>
      </c>
      <c r="X4" t="b">
        <v>1</v>
      </c>
      <c r="Y4" s="8">
        <f>S4/$R$2</f>
        <v>0.9994186666666669</v>
      </c>
      <c r="AA4" t="s">
        <v>86</v>
      </c>
      <c r="AB4" s="8">
        <f xml:space="preserve"> 0.000002 * Z4^4 - 0.0005 * Z4^3 + 0.0451 * Z4^2 - 1.2416 * Z4 + 11.272</f>
        <v>11.272</v>
      </c>
      <c r="AC4" s="9">
        <f xml:space="preserve"> -0.000003 * Z4^4 + 0.0008 * Z4^3 - 0.0744 * Z4^2 + 2.984 * Z4 - 30.397</f>
        <v>-30.396999999999998</v>
      </c>
      <c r="AD4" s="9">
        <f xml:space="preserve"> -0.00009 * Z4^3 + 0.0189 * Z4^2 - 1.4434 * Z4 + 44.941</f>
        <v>44.941000000000003</v>
      </c>
      <c r="AE4" s="9">
        <f xml:space="preserve"> -0.005 * Z4 + 0.728</f>
        <v>0.72799999999999998</v>
      </c>
    </row>
    <row r="5" spans="1:31" x14ac:dyDescent="0.3">
      <c r="A5">
        <v>28</v>
      </c>
      <c r="B5">
        <v>30</v>
      </c>
      <c r="C5" s="8">
        <v>1.96</v>
      </c>
      <c r="D5" s="8">
        <v>9.75</v>
      </c>
      <c r="E5" s="8">
        <v>17.239999999999998</v>
      </c>
      <c r="F5" s="8">
        <v>0.66</v>
      </c>
      <c r="G5" t="b">
        <v>0</v>
      </c>
      <c r="R5">
        <v>26.5</v>
      </c>
      <c r="S5" s="8">
        <f t="shared" si="0"/>
        <v>29.917933750000003</v>
      </c>
      <c r="T5" s="8">
        <f t="shared" si="1"/>
        <v>0.90485000000000149</v>
      </c>
      <c r="U5" s="9">
        <f t="shared" si="2"/>
        <v>10.129025</v>
      </c>
      <c r="V5" s="9">
        <f t="shared" ref="V5:V32" si="4" xml:space="preserve"> -0.00009 * R5^3 + 0.0189 * R5^2 - 1.4434 * R5 + 44.941</f>
        <v>18.28855875</v>
      </c>
      <c r="W5" s="9">
        <f t="shared" si="3"/>
        <v>0.59549999999999992</v>
      </c>
      <c r="X5" t="b">
        <v>1</v>
      </c>
      <c r="Y5" s="8">
        <f t="shared" ref="Y5:Y32" si="5">S5/$R$2</f>
        <v>0.99726445833333344</v>
      </c>
      <c r="AA5" t="s">
        <v>87</v>
      </c>
      <c r="AB5">
        <f t="shared" ref="AB5" si="6" xml:space="preserve"> -0.0008 * Z5^2 + 0.4661 * Z5 - 10.885</f>
        <v>-10.885</v>
      </c>
      <c r="AC5">
        <f t="shared" ref="AC5" si="7" xml:space="preserve"> -0.0041 * Z5^2 + 0.3041 * Z5 + 4.9496</f>
        <v>4.9496000000000002</v>
      </c>
      <c r="AD5">
        <f xml:space="preserve"> -0.00009 * Z5^3 + 0.0189 * Z5^2 - 1.4434 * Z5 + 44.941</f>
        <v>44.941000000000003</v>
      </c>
      <c r="AE5">
        <f t="shared" ref="AE5" si="8" xml:space="preserve"> -0.005 * Z5 + 0.728</f>
        <v>0.72799999999999998</v>
      </c>
    </row>
    <row r="6" spans="1:31" x14ac:dyDescent="0.3">
      <c r="A6" s="7">
        <v>30</v>
      </c>
      <c r="B6">
        <v>30</v>
      </c>
      <c r="C6" s="8">
        <v>2.33</v>
      </c>
      <c r="D6" s="8">
        <v>10.33</v>
      </c>
      <c r="E6" s="8">
        <v>16.27</v>
      </c>
      <c r="F6" s="8">
        <v>0.5</v>
      </c>
      <c r="G6" t="b">
        <v>0</v>
      </c>
      <c r="R6">
        <v>27</v>
      </c>
      <c r="S6" s="8">
        <f t="shared" si="0"/>
        <v>29.856730000000002</v>
      </c>
      <c r="T6" s="8">
        <f t="shared" si="1"/>
        <v>1.1165000000000003</v>
      </c>
      <c r="U6" s="9">
        <f t="shared" si="2"/>
        <v>10.171399999999998</v>
      </c>
      <c r="V6" s="9">
        <f t="shared" si="4"/>
        <v>17.975830000000002</v>
      </c>
      <c r="W6" s="9">
        <f t="shared" si="3"/>
        <v>0.59299999999999997</v>
      </c>
      <c r="X6" t="b">
        <v>1</v>
      </c>
      <c r="Y6" s="8">
        <f t="shared" si="5"/>
        <v>0.99522433333333338</v>
      </c>
    </row>
    <row r="7" spans="1:31" x14ac:dyDescent="0.3">
      <c r="A7">
        <v>32</v>
      </c>
      <c r="B7">
        <v>30</v>
      </c>
      <c r="C7" s="8">
        <v>2.93</v>
      </c>
      <c r="D7" s="8">
        <v>11.01</v>
      </c>
      <c r="E7" s="8">
        <v>15.11</v>
      </c>
      <c r="F7" s="8">
        <v>0.52</v>
      </c>
      <c r="G7" t="b">
        <v>0</v>
      </c>
      <c r="R7">
        <v>27.5</v>
      </c>
      <c r="S7" s="8">
        <f t="shared" si="0"/>
        <v>29.798881250000001</v>
      </c>
      <c r="T7" s="8">
        <f t="shared" si="1"/>
        <v>1.32775</v>
      </c>
      <c r="U7" s="9">
        <f t="shared" si="2"/>
        <v>10.211724999999999</v>
      </c>
      <c r="V7" s="9">
        <f t="shared" si="4"/>
        <v>17.668906250000003</v>
      </c>
      <c r="W7" s="9">
        <f t="shared" si="3"/>
        <v>0.59050000000000002</v>
      </c>
      <c r="X7" t="b">
        <v>1</v>
      </c>
      <c r="Y7" s="8">
        <f t="shared" si="5"/>
        <v>0.99329604166666674</v>
      </c>
    </row>
    <row r="8" spans="1:31" x14ac:dyDescent="0.3">
      <c r="A8" s="7">
        <v>34</v>
      </c>
      <c r="B8">
        <v>30</v>
      </c>
      <c r="C8" s="8">
        <v>3.72</v>
      </c>
      <c r="D8" s="8">
        <v>11.08</v>
      </c>
      <c r="E8" s="8">
        <v>14.13</v>
      </c>
      <c r="F8" s="8">
        <v>0.69</v>
      </c>
      <c r="G8" t="b">
        <v>0</v>
      </c>
      <c r="R8">
        <v>28</v>
      </c>
      <c r="S8" s="8">
        <f t="shared" si="0"/>
        <v>29.744320000000009</v>
      </c>
      <c r="T8" s="8">
        <f t="shared" si="1"/>
        <v>1.5386000000000006</v>
      </c>
      <c r="U8" s="9">
        <f t="shared" si="2"/>
        <v>10.25</v>
      </c>
      <c r="V8" s="9">
        <f t="shared" si="4"/>
        <v>17.367720000000006</v>
      </c>
      <c r="W8" s="9">
        <f t="shared" si="3"/>
        <v>0.58799999999999997</v>
      </c>
      <c r="X8" t="b">
        <v>1</v>
      </c>
      <c r="Y8" s="8">
        <f t="shared" si="5"/>
        <v>0.99147733333333365</v>
      </c>
    </row>
    <row r="9" spans="1:31" x14ac:dyDescent="0.3">
      <c r="A9">
        <v>36</v>
      </c>
      <c r="B9">
        <v>30</v>
      </c>
      <c r="C9" s="8">
        <v>4.2300000000000004</v>
      </c>
      <c r="D9" s="8">
        <v>11.11</v>
      </c>
      <c r="E9" s="8">
        <v>13.64</v>
      </c>
      <c r="F9" s="8">
        <v>0.52</v>
      </c>
      <c r="G9" t="b">
        <v>0</v>
      </c>
      <c r="R9">
        <v>28.5</v>
      </c>
      <c r="S9" s="8">
        <f t="shared" si="0"/>
        <v>29.692978750000005</v>
      </c>
      <c r="T9" s="8">
        <f t="shared" si="1"/>
        <v>1.7490500000000004</v>
      </c>
      <c r="U9" s="9">
        <f t="shared" si="2"/>
        <v>10.286225</v>
      </c>
      <c r="V9" s="9">
        <f t="shared" si="4"/>
        <v>17.072203750000007</v>
      </c>
      <c r="W9" s="9">
        <f t="shared" si="3"/>
        <v>0.58549999999999991</v>
      </c>
      <c r="X9" t="b">
        <v>1</v>
      </c>
      <c r="Y9" s="8">
        <f t="shared" si="5"/>
        <v>0.98976595833333347</v>
      </c>
    </row>
    <row r="10" spans="1:31" x14ac:dyDescent="0.3">
      <c r="A10" s="7">
        <v>38</v>
      </c>
      <c r="B10">
        <v>30</v>
      </c>
      <c r="C10" s="8">
        <v>5.29</v>
      </c>
      <c r="D10" s="8">
        <v>11.32</v>
      </c>
      <c r="E10" s="8">
        <v>12.45</v>
      </c>
      <c r="F10" s="8">
        <v>0.52</v>
      </c>
      <c r="G10" t="b">
        <v>0</v>
      </c>
      <c r="R10">
        <v>29</v>
      </c>
      <c r="S10" s="8">
        <f t="shared" si="0"/>
        <v>29.644789999999997</v>
      </c>
      <c r="T10" s="8">
        <f t="shared" si="1"/>
        <v>1.9590999999999994</v>
      </c>
      <c r="U10" s="9">
        <f t="shared" si="2"/>
        <v>10.320399999999999</v>
      </c>
      <c r="V10" s="9">
        <f t="shared" si="4"/>
        <v>16.78229</v>
      </c>
      <c r="W10" s="9">
        <f t="shared" si="3"/>
        <v>0.58299999999999996</v>
      </c>
      <c r="X10" t="b">
        <v>1</v>
      </c>
      <c r="Y10" s="8">
        <f t="shared" si="5"/>
        <v>0.98815966666666655</v>
      </c>
    </row>
    <row r="11" spans="1:31" x14ac:dyDescent="0.3">
      <c r="A11">
        <v>40</v>
      </c>
      <c r="B11">
        <v>30</v>
      </c>
      <c r="C11" s="8">
        <v>5.88</v>
      </c>
      <c r="D11" s="8">
        <v>11.44</v>
      </c>
      <c r="E11" s="8">
        <v>11.54</v>
      </c>
      <c r="F11" s="8">
        <v>0.64</v>
      </c>
      <c r="G11" t="b">
        <v>0</v>
      </c>
      <c r="R11">
        <v>29.5</v>
      </c>
      <c r="S11" s="8">
        <f t="shared" si="0"/>
        <v>29.599686250000005</v>
      </c>
      <c r="T11" s="8">
        <f t="shared" si="1"/>
        <v>2.1687500000000011</v>
      </c>
      <c r="U11" s="9">
        <f t="shared" si="2"/>
        <v>10.352525</v>
      </c>
      <c r="V11" s="9">
        <f t="shared" si="4"/>
        <v>16.497911250000001</v>
      </c>
      <c r="W11" s="9">
        <f t="shared" si="3"/>
        <v>0.58050000000000002</v>
      </c>
      <c r="X11" t="b">
        <v>1</v>
      </c>
      <c r="Y11" s="8">
        <f t="shared" si="5"/>
        <v>0.98665620833333345</v>
      </c>
    </row>
    <row r="12" spans="1:31" x14ac:dyDescent="0.3">
      <c r="A12" s="7">
        <v>42</v>
      </c>
      <c r="B12">
        <v>30</v>
      </c>
      <c r="C12" s="8">
        <v>7.12</v>
      </c>
      <c r="D12" s="8">
        <v>11.09</v>
      </c>
      <c r="E12" s="8">
        <v>10.86</v>
      </c>
      <c r="F12" s="8">
        <v>0.59</v>
      </c>
      <c r="G12" t="b">
        <v>0</v>
      </c>
      <c r="R12">
        <v>30</v>
      </c>
      <c r="S12" s="8">
        <f t="shared" si="0"/>
        <v>29.557600000000004</v>
      </c>
      <c r="T12" s="8">
        <f t="shared" si="1"/>
        <v>2.3780000000000001</v>
      </c>
      <c r="U12" s="9">
        <f t="shared" si="2"/>
        <v>10.3826</v>
      </c>
      <c r="V12" s="9">
        <f t="shared" si="4"/>
        <v>16.219000000000005</v>
      </c>
      <c r="W12" s="9">
        <f t="shared" si="3"/>
        <v>0.57799999999999996</v>
      </c>
      <c r="X12" t="b">
        <v>1</v>
      </c>
      <c r="Y12" s="8">
        <f t="shared" si="5"/>
        <v>0.98525333333333343</v>
      </c>
    </row>
    <row r="13" spans="1:31" x14ac:dyDescent="0.3">
      <c r="A13">
        <v>44</v>
      </c>
      <c r="B13">
        <v>30</v>
      </c>
      <c r="C13" s="8">
        <v>7.87</v>
      </c>
      <c r="D13" s="8">
        <v>10.87</v>
      </c>
      <c r="E13" s="8">
        <v>10.029999999999999</v>
      </c>
      <c r="F13" s="8">
        <v>0.74</v>
      </c>
      <c r="G13" t="b">
        <v>0</v>
      </c>
      <c r="R13">
        <v>30.5</v>
      </c>
      <c r="S13" s="8">
        <f t="shared" si="0"/>
        <v>29.518463750000006</v>
      </c>
      <c r="T13" s="8">
        <f t="shared" si="1"/>
        <v>2.5868500000000019</v>
      </c>
      <c r="U13" s="9">
        <f t="shared" si="2"/>
        <v>10.410625</v>
      </c>
      <c r="V13" s="9">
        <f t="shared" si="4"/>
        <v>15.945488750000003</v>
      </c>
      <c r="W13" s="9">
        <f t="shared" si="3"/>
        <v>0.57550000000000001</v>
      </c>
      <c r="X13" t="b">
        <v>1</v>
      </c>
      <c r="Y13" s="8">
        <f t="shared" si="5"/>
        <v>0.98394879166666682</v>
      </c>
    </row>
    <row r="14" spans="1:31" x14ac:dyDescent="0.3">
      <c r="A14" s="7">
        <v>46</v>
      </c>
      <c r="B14">
        <v>30</v>
      </c>
      <c r="C14" s="8">
        <v>9.93</v>
      </c>
      <c r="D14" s="8">
        <v>10.050000000000001</v>
      </c>
      <c r="E14" s="8">
        <v>9.1999999999999993</v>
      </c>
      <c r="F14" s="8">
        <v>0.44</v>
      </c>
      <c r="G14" t="b">
        <v>0</v>
      </c>
      <c r="R14">
        <v>31</v>
      </c>
      <c r="S14" s="8">
        <f t="shared" si="0"/>
        <v>29.482209999999995</v>
      </c>
      <c r="T14" s="8">
        <f t="shared" si="1"/>
        <v>2.7952999999999992</v>
      </c>
      <c r="U14" s="9">
        <f t="shared" si="2"/>
        <v>10.436599999999999</v>
      </c>
      <c r="V14" s="9">
        <f t="shared" si="4"/>
        <v>15.677309999999999</v>
      </c>
      <c r="W14" s="9">
        <f t="shared" si="3"/>
        <v>0.57299999999999995</v>
      </c>
      <c r="X14" t="b">
        <v>1</v>
      </c>
      <c r="Y14" s="8">
        <f t="shared" si="5"/>
        <v>0.98274033333333322</v>
      </c>
    </row>
    <row r="15" spans="1:31" x14ac:dyDescent="0.3">
      <c r="A15">
        <v>48</v>
      </c>
      <c r="B15">
        <v>30</v>
      </c>
      <c r="C15" s="8">
        <v>10.15</v>
      </c>
      <c r="D15" s="8">
        <v>9.92</v>
      </c>
      <c r="E15" s="8">
        <v>8.9</v>
      </c>
      <c r="F15" s="8">
        <v>0.61</v>
      </c>
      <c r="G15" t="b">
        <v>0</v>
      </c>
      <c r="R15">
        <v>31.5</v>
      </c>
      <c r="S15" s="8">
        <f t="shared" si="0"/>
        <v>29.448771249999997</v>
      </c>
      <c r="T15" s="8">
        <f t="shared" si="1"/>
        <v>3.0033499999999993</v>
      </c>
      <c r="U15" s="9">
        <f t="shared" si="2"/>
        <v>10.460525000000001</v>
      </c>
      <c r="V15" s="9">
        <f t="shared" si="4"/>
        <v>15.414396249999999</v>
      </c>
      <c r="W15" s="9">
        <f t="shared" si="3"/>
        <v>0.57050000000000001</v>
      </c>
      <c r="X15" t="b">
        <v>1</v>
      </c>
      <c r="Y15" s="8">
        <f t="shared" si="5"/>
        <v>0.98162570833333318</v>
      </c>
    </row>
    <row r="16" spans="1:31" x14ac:dyDescent="0.3">
      <c r="A16" s="7">
        <v>50</v>
      </c>
      <c r="B16">
        <v>30</v>
      </c>
      <c r="C16" s="8">
        <v>10.72</v>
      </c>
      <c r="D16" s="8">
        <v>9.85</v>
      </c>
      <c r="E16" s="8">
        <v>8.69</v>
      </c>
      <c r="F16" s="8">
        <v>0.36</v>
      </c>
      <c r="G16" t="b">
        <v>0</v>
      </c>
      <c r="R16">
        <v>32</v>
      </c>
      <c r="S16" s="8">
        <f t="shared" si="0"/>
        <v>29.41808</v>
      </c>
      <c r="T16" s="8">
        <f t="shared" si="1"/>
        <v>3.2110000000000003</v>
      </c>
      <c r="U16" s="9">
        <f t="shared" si="2"/>
        <v>10.482399999999998</v>
      </c>
      <c r="V16" s="9">
        <f t="shared" si="4"/>
        <v>15.156680000000001</v>
      </c>
      <c r="W16" s="9">
        <f t="shared" si="3"/>
        <v>0.56799999999999995</v>
      </c>
      <c r="X16" t="b">
        <v>1</v>
      </c>
      <c r="Y16" s="8">
        <f t="shared" si="5"/>
        <v>0.98060266666666662</v>
      </c>
    </row>
    <row r="17" spans="1:25" x14ac:dyDescent="0.3">
      <c r="A17">
        <v>51</v>
      </c>
      <c r="B17">
        <v>30</v>
      </c>
      <c r="C17" s="8">
        <v>10.5</v>
      </c>
      <c r="D17" s="8">
        <v>9.85</v>
      </c>
      <c r="E17" s="8">
        <v>8.94</v>
      </c>
      <c r="F17" s="8">
        <v>0.35</v>
      </c>
      <c r="G17" t="b">
        <v>0</v>
      </c>
      <c r="R17">
        <v>32.5</v>
      </c>
      <c r="S17" s="8">
        <f t="shared" si="0"/>
        <v>29.390068750000005</v>
      </c>
      <c r="T17" s="8">
        <f t="shared" si="1"/>
        <v>3.4182500000000005</v>
      </c>
      <c r="U17" s="9">
        <f t="shared" si="2"/>
        <v>10.502224999999999</v>
      </c>
      <c r="V17" s="9">
        <f t="shared" si="4"/>
        <v>14.904093750000005</v>
      </c>
      <c r="W17" s="9">
        <f t="shared" si="3"/>
        <v>0.5655</v>
      </c>
      <c r="X17" t="b">
        <v>1</v>
      </c>
      <c r="Y17" s="8">
        <f t="shared" si="5"/>
        <v>0.97966895833333345</v>
      </c>
    </row>
    <row r="18" spans="1:25" x14ac:dyDescent="0.3">
      <c r="A18" s="7">
        <v>56</v>
      </c>
      <c r="B18">
        <v>30</v>
      </c>
      <c r="C18" s="8">
        <v>12.09</v>
      </c>
      <c r="D18" s="8">
        <v>9.06</v>
      </c>
      <c r="E18" s="8">
        <v>8.17</v>
      </c>
      <c r="F18" s="8">
        <v>0.4</v>
      </c>
      <c r="G18" t="b">
        <v>0</v>
      </c>
      <c r="R18">
        <v>33</v>
      </c>
      <c r="S18" s="8">
        <f t="shared" si="0"/>
        <v>29.364670000000007</v>
      </c>
      <c r="T18" s="8">
        <f t="shared" si="1"/>
        <v>3.6251000000000015</v>
      </c>
      <c r="U18" s="9">
        <f t="shared" si="2"/>
        <v>10.52</v>
      </c>
      <c r="V18" s="9">
        <f t="shared" si="4"/>
        <v>14.656570000000006</v>
      </c>
      <c r="W18" s="9">
        <f t="shared" si="3"/>
        <v>0.56299999999999994</v>
      </c>
      <c r="X18" t="b">
        <v>1</v>
      </c>
      <c r="Y18" s="8">
        <f t="shared" si="5"/>
        <v>0.97882233333333357</v>
      </c>
    </row>
    <row r="19" spans="1:25" x14ac:dyDescent="0.3">
      <c r="A19">
        <v>61</v>
      </c>
      <c r="B19">
        <v>30</v>
      </c>
      <c r="C19" s="8">
        <v>15.12</v>
      </c>
      <c r="D19" s="8">
        <v>7.75</v>
      </c>
      <c r="E19" s="8">
        <v>6.58</v>
      </c>
      <c r="F19" s="8">
        <v>0.23</v>
      </c>
      <c r="G19" t="b">
        <v>0</v>
      </c>
      <c r="R19">
        <v>33.5</v>
      </c>
      <c r="S19" s="8">
        <f t="shared" si="0"/>
        <v>29.341816250000001</v>
      </c>
      <c r="T19" s="8">
        <f t="shared" si="1"/>
        <v>3.83155</v>
      </c>
      <c r="U19" s="9">
        <f t="shared" si="2"/>
        <v>10.535724999999999</v>
      </c>
      <c r="V19" s="9">
        <f t="shared" si="4"/>
        <v>14.41404125</v>
      </c>
      <c r="W19" s="9">
        <f t="shared" si="3"/>
        <v>0.5605</v>
      </c>
      <c r="X19" t="b">
        <v>1</v>
      </c>
      <c r="Y19" s="8">
        <f t="shared" si="5"/>
        <v>0.97806054166666667</v>
      </c>
    </row>
    <row r="20" spans="1:25" x14ac:dyDescent="0.3">
      <c r="A20">
        <v>66</v>
      </c>
      <c r="B20">
        <v>30</v>
      </c>
      <c r="C20" s="8">
        <v>17.13</v>
      </c>
      <c r="D20" s="8">
        <v>6.47</v>
      </c>
      <c r="E20" s="8">
        <v>5.68</v>
      </c>
      <c r="F20" s="8">
        <v>0.35</v>
      </c>
      <c r="G20" t="b">
        <v>0</v>
      </c>
      <c r="R20">
        <v>34</v>
      </c>
      <c r="S20" s="8">
        <f t="shared" si="0"/>
        <v>29.321440000000003</v>
      </c>
      <c r="T20" s="8">
        <f t="shared" si="1"/>
        <v>4.0376000000000012</v>
      </c>
      <c r="U20" s="9">
        <f t="shared" si="2"/>
        <v>10.549399999999999</v>
      </c>
      <c r="V20" s="9">
        <f t="shared" si="4"/>
        <v>14.176440000000003</v>
      </c>
      <c r="W20" s="9">
        <f t="shared" si="3"/>
        <v>0.55799999999999994</v>
      </c>
      <c r="X20" t="b">
        <v>1</v>
      </c>
      <c r="Y20" s="8">
        <f t="shared" si="5"/>
        <v>0.97738133333333344</v>
      </c>
    </row>
    <row r="21" spans="1:25" x14ac:dyDescent="0.3">
      <c r="A21" s="7">
        <v>71</v>
      </c>
      <c r="B21">
        <v>30</v>
      </c>
      <c r="C21" s="8">
        <v>18.38</v>
      </c>
      <c r="D21" s="8">
        <v>5.68</v>
      </c>
      <c r="E21" s="8">
        <v>5.27</v>
      </c>
      <c r="F21" s="8">
        <v>0.28999999999999998</v>
      </c>
      <c r="G21" t="b">
        <v>0</v>
      </c>
      <c r="R21">
        <v>34.5</v>
      </c>
      <c r="S21" s="8">
        <f t="shared" si="0"/>
        <v>29.303473749999998</v>
      </c>
      <c r="T21" s="8">
        <f t="shared" si="1"/>
        <v>4.2432499999999997</v>
      </c>
      <c r="U21" s="9">
        <f t="shared" si="2"/>
        <v>10.561024999999997</v>
      </c>
      <c r="V21" s="9">
        <f t="shared" si="4"/>
        <v>13.943698750000003</v>
      </c>
      <c r="W21" s="9">
        <f t="shared" si="3"/>
        <v>0.55549999999999999</v>
      </c>
      <c r="X21" t="b">
        <v>1</v>
      </c>
      <c r="Y21" s="8">
        <f t="shared" si="5"/>
        <v>0.97678245833333333</v>
      </c>
    </row>
    <row r="22" spans="1:25" x14ac:dyDescent="0.3">
      <c r="A22">
        <v>76</v>
      </c>
      <c r="B22">
        <v>30</v>
      </c>
      <c r="C22" s="8">
        <v>20.190000000000001</v>
      </c>
      <c r="D22" s="8">
        <v>4.5999999999999996</v>
      </c>
      <c r="E22" s="8">
        <v>4.32</v>
      </c>
      <c r="F22" s="8">
        <v>0.51</v>
      </c>
      <c r="G22" t="b">
        <v>0</v>
      </c>
      <c r="R22">
        <v>35</v>
      </c>
      <c r="S22" s="8">
        <f t="shared" si="0"/>
        <v>29.287850000000002</v>
      </c>
      <c r="T22" s="8">
        <f t="shared" si="1"/>
        <v>4.448500000000001</v>
      </c>
      <c r="U22" s="9">
        <f t="shared" si="2"/>
        <v>10.570599999999999</v>
      </c>
      <c r="V22" s="9">
        <f t="shared" si="4"/>
        <v>13.715750000000003</v>
      </c>
      <c r="W22" s="9">
        <f t="shared" si="3"/>
        <v>0.55299999999999994</v>
      </c>
      <c r="X22" t="b">
        <v>1</v>
      </c>
      <c r="Y22" s="8">
        <f t="shared" si="5"/>
        <v>0.97626166666666669</v>
      </c>
    </row>
    <row r="23" spans="1:25" x14ac:dyDescent="0.3">
      <c r="A23">
        <v>81</v>
      </c>
      <c r="B23">
        <v>30</v>
      </c>
      <c r="C23" s="8">
        <v>21.11</v>
      </c>
      <c r="D23" s="8">
        <v>3.94</v>
      </c>
      <c r="E23" s="8">
        <v>4.0599999999999996</v>
      </c>
      <c r="F23" s="8">
        <v>0.38</v>
      </c>
      <c r="G23" t="b">
        <v>0</v>
      </c>
      <c r="R23">
        <v>35.5</v>
      </c>
      <c r="S23" s="8">
        <f t="shared" si="0"/>
        <v>29.274501249999993</v>
      </c>
      <c r="T23" s="8">
        <f t="shared" si="1"/>
        <v>4.6533499999999997</v>
      </c>
      <c r="U23" s="9">
        <f t="shared" si="2"/>
        <v>10.578124999999998</v>
      </c>
      <c r="V23" s="9">
        <f t="shared" si="4"/>
        <v>13.492526249999997</v>
      </c>
      <c r="W23" s="9">
        <f t="shared" si="3"/>
        <v>0.55049999999999999</v>
      </c>
      <c r="X23" t="b">
        <v>1</v>
      </c>
      <c r="Y23" s="8">
        <f t="shared" si="5"/>
        <v>0.97581670833333312</v>
      </c>
    </row>
    <row r="24" spans="1:25" x14ac:dyDescent="0.3">
      <c r="R24">
        <v>36</v>
      </c>
      <c r="S24" s="8">
        <f t="shared" si="0"/>
        <v>29.263360000000006</v>
      </c>
      <c r="T24" s="8">
        <f t="shared" si="1"/>
        <v>4.8578000000000028</v>
      </c>
      <c r="U24" s="9">
        <f t="shared" si="2"/>
        <v>10.583600000000001</v>
      </c>
      <c r="V24" s="9">
        <f t="shared" si="4"/>
        <v>13.273959999999999</v>
      </c>
      <c r="W24" s="9">
        <f t="shared" si="3"/>
        <v>0.54800000000000004</v>
      </c>
      <c r="X24" t="b">
        <v>1</v>
      </c>
      <c r="Y24" s="8">
        <f t="shared" si="5"/>
        <v>0.9754453333333335</v>
      </c>
    </row>
    <row r="25" spans="1:25" x14ac:dyDescent="0.3">
      <c r="R25">
        <v>36.5</v>
      </c>
      <c r="S25" s="8">
        <f t="shared" si="0"/>
        <v>29.254358750000005</v>
      </c>
      <c r="T25" s="8">
        <f t="shared" si="1"/>
        <v>5.0618500000000015</v>
      </c>
      <c r="U25" s="9">
        <f t="shared" si="2"/>
        <v>10.587024999999999</v>
      </c>
      <c r="V25" s="9">
        <f t="shared" si="4"/>
        <v>13.059983750000004</v>
      </c>
      <c r="W25" s="9">
        <f t="shared" si="3"/>
        <v>0.54549999999999998</v>
      </c>
      <c r="X25" t="b">
        <v>1</v>
      </c>
      <c r="Y25" s="8">
        <f t="shared" si="5"/>
        <v>0.97514529166666686</v>
      </c>
    </row>
    <row r="26" spans="1:25" x14ac:dyDescent="0.3">
      <c r="R26">
        <v>37</v>
      </c>
      <c r="S26" s="8">
        <f t="shared" si="0"/>
        <v>29.247430000000008</v>
      </c>
      <c r="T26" s="8">
        <f t="shared" si="1"/>
        <v>5.2655000000000012</v>
      </c>
      <c r="U26" s="9">
        <f t="shared" si="2"/>
        <v>10.5884</v>
      </c>
      <c r="V26" s="9">
        <f t="shared" si="4"/>
        <v>12.850530000000006</v>
      </c>
      <c r="W26" s="9">
        <f t="shared" si="3"/>
        <v>0.54299999999999993</v>
      </c>
      <c r="X26" t="b">
        <v>1</v>
      </c>
      <c r="Y26" s="8">
        <f t="shared" si="5"/>
        <v>0.97491433333333366</v>
      </c>
    </row>
    <row r="27" spans="1:25" x14ac:dyDescent="0.3">
      <c r="R27">
        <v>37.5</v>
      </c>
      <c r="S27" s="8">
        <f t="shared" si="0"/>
        <v>29.242506250000005</v>
      </c>
      <c r="T27" s="8">
        <f t="shared" si="1"/>
        <v>5.4687500000000018</v>
      </c>
      <c r="U27" s="9">
        <f t="shared" si="2"/>
        <v>10.587724999999999</v>
      </c>
      <c r="V27" s="9">
        <f t="shared" si="4"/>
        <v>12.645531250000005</v>
      </c>
      <c r="W27" s="9">
        <f t="shared" si="3"/>
        <v>0.54049999999999998</v>
      </c>
      <c r="X27" t="b">
        <v>1</v>
      </c>
      <c r="Y27" s="8">
        <f t="shared" si="5"/>
        <v>0.97475020833333348</v>
      </c>
    </row>
    <row r="28" spans="1:25" x14ac:dyDescent="0.3">
      <c r="R28">
        <v>38</v>
      </c>
      <c r="S28" s="8">
        <f t="shared" si="0"/>
        <v>29.239519999999995</v>
      </c>
      <c r="T28" s="8">
        <f t="shared" si="1"/>
        <v>5.6715999999999998</v>
      </c>
      <c r="U28" s="9">
        <f t="shared" si="2"/>
        <v>10.584999999999999</v>
      </c>
      <c r="V28" s="9">
        <f t="shared" si="4"/>
        <v>12.444919999999996</v>
      </c>
      <c r="W28" s="9">
        <f t="shared" si="3"/>
        <v>0.53800000000000003</v>
      </c>
      <c r="X28" t="b">
        <v>1</v>
      </c>
      <c r="Y28" s="8">
        <f t="shared" si="5"/>
        <v>0.97465066666666655</v>
      </c>
    </row>
    <row r="29" spans="1:25" x14ac:dyDescent="0.3">
      <c r="R29">
        <v>38.5</v>
      </c>
      <c r="S29" s="8">
        <f t="shared" si="0"/>
        <v>29.238403749999989</v>
      </c>
      <c r="T29" s="8">
        <f t="shared" si="1"/>
        <v>5.8740499999999987</v>
      </c>
      <c r="U29" s="9">
        <f t="shared" si="2"/>
        <v>10.580224999999999</v>
      </c>
      <c r="V29" s="9">
        <f t="shared" si="4"/>
        <v>12.248628749999995</v>
      </c>
      <c r="W29" s="9">
        <f t="shared" si="3"/>
        <v>0.53549999999999998</v>
      </c>
      <c r="X29" t="b">
        <v>1</v>
      </c>
      <c r="Y29" s="8">
        <f t="shared" si="5"/>
        <v>0.97461345833333302</v>
      </c>
    </row>
    <row r="30" spans="1:25" x14ac:dyDescent="0.3">
      <c r="R30">
        <v>39</v>
      </c>
      <c r="S30" s="8">
        <f t="shared" si="0"/>
        <v>29.239090000000004</v>
      </c>
      <c r="T30" s="8">
        <f t="shared" si="1"/>
        <v>6.0761000000000021</v>
      </c>
      <c r="U30" s="9">
        <f t="shared" si="2"/>
        <v>10.573399999999999</v>
      </c>
      <c r="V30" s="9">
        <f t="shared" si="4"/>
        <v>12.05659</v>
      </c>
      <c r="W30" s="9">
        <f t="shared" si="3"/>
        <v>0.53299999999999992</v>
      </c>
      <c r="X30" t="b">
        <v>1</v>
      </c>
      <c r="Y30" s="8">
        <f t="shared" si="5"/>
        <v>0.97463633333333344</v>
      </c>
    </row>
    <row r="31" spans="1:25" x14ac:dyDescent="0.3">
      <c r="R31">
        <v>39.5</v>
      </c>
      <c r="S31" s="8">
        <f t="shared" si="0"/>
        <v>29.241511249999999</v>
      </c>
      <c r="T31" s="8">
        <f t="shared" si="1"/>
        <v>6.2777499999999993</v>
      </c>
      <c r="U31" s="9">
        <f t="shared" si="2"/>
        <v>10.564525</v>
      </c>
      <c r="V31" s="9">
        <f t="shared" si="4"/>
        <v>11.868736249999998</v>
      </c>
      <c r="W31" s="9">
        <f t="shared" si="3"/>
        <v>0.53049999999999997</v>
      </c>
      <c r="X31" t="b">
        <v>1</v>
      </c>
      <c r="Y31" s="8">
        <f t="shared" si="5"/>
        <v>0.97471704166666662</v>
      </c>
    </row>
    <row r="32" spans="1:25" x14ac:dyDescent="0.3">
      <c r="R32">
        <v>40</v>
      </c>
      <c r="S32" s="8">
        <f t="shared" si="0"/>
        <v>29.245600000000003</v>
      </c>
      <c r="T32" s="8">
        <f t="shared" si="1"/>
        <v>6.479000000000001</v>
      </c>
      <c r="U32" s="9">
        <f t="shared" si="2"/>
        <v>10.553599999999999</v>
      </c>
      <c r="V32" s="9">
        <f t="shared" si="4"/>
        <v>11.685000000000002</v>
      </c>
      <c r="W32" s="9">
        <f t="shared" si="3"/>
        <v>0.52800000000000002</v>
      </c>
      <c r="X32" t="b">
        <v>1</v>
      </c>
      <c r="Y32" s="8">
        <f t="shared" si="5"/>
        <v>0.97485333333333346</v>
      </c>
    </row>
    <row r="33" spans="18:25" x14ac:dyDescent="0.3">
      <c r="R33">
        <v>40.5</v>
      </c>
      <c r="S33" s="8">
        <f t="shared" ref="S33:S64" si="9">SUM(T33:W33)</f>
        <v>29.251288750000001</v>
      </c>
      <c r="T33" s="8">
        <f t="shared" ref="T33:T64" si="10" xml:space="preserve"> -0.0008 * R33^2 + 0.4661 * R33 - 10.885</f>
        <v>6.6798500000000001</v>
      </c>
      <c r="U33" s="9">
        <f t="shared" ref="U33:U64" si="11" xml:space="preserve"> -0.0041 * R33^2 + 0.3041 * R33 + 4.9496</f>
        <v>10.540624999999999</v>
      </c>
      <c r="V33" s="9">
        <f t="shared" ref="V33:V64" si="12" xml:space="preserve"> -0.00009 * R33^3 + 0.0189 * R33^2 - 1.4434 * R33 + 44.941</f>
        <v>11.505313749999999</v>
      </c>
      <c r="W33" s="9">
        <f t="shared" ref="W33:W64" si="13" xml:space="preserve"> -0.005 * R33 + 0.728</f>
        <v>0.52549999999999997</v>
      </c>
      <c r="X33" t="b">
        <v>1</v>
      </c>
      <c r="Y33" s="8">
        <f t="shared" ref="Y33:Y64" si="14">S33/$R$2</f>
        <v>0.97504295833333332</v>
      </c>
    </row>
    <row r="34" spans="18:25" x14ac:dyDescent="0.3">
      <c r="R34">
        <v>41</v>
      </c>
      <c r="S34" s="8">
        <f t="shared" si="9"/>
        <v>29.258510000000001</v>
      </c>
      <c r="T34" s="8">
        <f t="shared" si="10"/>
        <v>6.8803000000000001</v>
      </c>
      <c r="U34" s="9">
        <f t="shared" si="11"/>
        <v>10.525599999999999</v>
      </c>
      <c r="V34" s="9">
        <f t="shared" si="12"/>
        <v>11.329610000000002</v>
      </c>
      <c r="W34" s="9">
        <f t="shared" si="13"/>
        <v>0.52299999999999991</v>
      </c>
      <c r="X34" t="b">
        <v>1</v>
      </c>
      <c r="Y34" s="8">
        <f t="shared" si="14"/>
        <v>0.97528366666666666</v>
      </c>
    </row>
    <row r="35" spans="18:25" x14ac:dyDescent="0.3">
      <c r="R35">
        <v>41.5</v>
      </c>
      <c r="S35" s="8">
        <f t="shared" si="9"/>
        <v>29.267196250000005</v>
      </c>
      <c r="T35" s="8">
        <f t="shared" si="10"/>
        <v>7.080350000000001</v>
      </c>
      <c r="U35" s="9">
        <f t="shared" si="11"/>
        <v>10.508524999999999</v>
      </c>
      <c r="V35" s="9">
        <f t="shared" si="12"/>
        <v>11.157821250000005</v>
      </c>
      <c r="W35" s="9">
        <f t="shared" si="13"/>
        <v>0.52049999999999996</v>
      </c>
      <c r="X35" t="b">
        <v>1</v>
      </c>
      <c r="Y35" s="8">
        <f t="shared" si="14"/>
        <v>0.9755732083333335</v>
      </c>
    </row>
    <row r="36" spans="18:25" x14ac:dyDescent="0.3">
      <c r="R36">
        <v>42</v>
      </c>
      <c r="S36" s="8">
        <f t="shared" si="9"/>
        <v>29.277279999999998</v>
      </c>
      <c r="T36" s="8">
        <f t="shared" si="10"/>
        <v>7.2799999999999994</v>
      </c>
      <c r="U36" s="9">
        <f t="shared" si="11"/>
        <v>10.4894</v>
      </c>
      <c r="V36" s="9">
        <f t="shared" si="12"/>
        <v>10.989879999999999</v>
      </c>
      <c r="W36" s="9">
        <f t="shared" si="13"/>
        <v>0.51800000000000002</v>
      </c>
      <c r="X36" t="b">
        <v>1</v>
      </c>
      <c r="Y36" s="8">
        <f t="shared" si="14"/>
        <v>0.9759093333333333</v>
      </c>
    </row>
    <row r="37" spans="18:25" x14ac:dyDescent="0.3">
      <c r="R37">
        <v>42.5</v>
      </c>
      <c r="S37" s="8">
        <f t="shared" si="9"/>
        <v>29.28869375</v>
      </c>
      <c r="T37" s="8">
        <f t="shared" si="10"/>
        <v>7.4792500000000022</v>
      </c>
      <c r="U37" s="9">
        <f t="shared" si="11"/>
        <v>10.468224999999999</v>
      </c>
      <c r="V37" s="9">
        <f t="shared" si="12"/>
        <v>10.82571875</v>
      </c>
      <c r="W37" s="9">
        <f t="shared" si="13"/>
        <v>0.51549999999999996</v>
      </c>
      <c r="X37" t="b">
        <v>1</v>
      </c>
      <c r="Y37" s="8">
        <f t="shared" si="14"/>
        <v>0.97628979166666663</v>
      </c>
    </row>
    <row r="38" spans="18:25" x14ac:dyDescent="0.3">
      <c r="R38">
        <v>43</v>
      </c>
      <c r="S38" s="8">
        <f t="shared" si="9"/>
        <v>29.301370000000002</v>
      </c>
      <c r="T38" s="8">
        <f t="shared" si="10"/>
        <v>7.6781000000000024</v>
      </c>
      <c r="U38" s="9">
        <f t="shared" si="11"/>
        <v>10.445</v>
      </c>
      <c r="V38" s="9">
        <f t="shared" si="12"/>
        <v>10.66527</v>
      </c>
      <c r="W38" s="9">
        <f t="shared" si="13"/>
        <v>0.51300000000000001</v>
      </c>
      <c r="X38" t="b">
        <v>1</v>
      </c>
      <c r="Y38" s="8">
        <f t="shared" si="14"/>
        <v>0.9767123333333334</v>
      </c>
    </row>
    <row r="39" spans="18:25" x14ac:dyDescent="0.3">
      <c r="R39">
        <v>43.5</v>
      </c>
      <c r="S39" s="8">
        <f t="shared" si="9"/>
        <v>29.315241250000007</v>
      </c>
      <c r="T39" s="8">
        <f t="shared" si="10"/>
        <v>7.8765499999999999</v>
      </c>
      <c r="U39" s="9">
        <f t="shared" si="11"/>
        <v>10.419725</v>
      </c>
      <c r="V39" s="9">
        <f t="shared" si="12"/>
        <v>10.508466250000005</v>
      </c>
      <c r="W39" s="9">
        <f t="shared" si="13"/>
        <v>0.51049999999999995</v>
      </c>
      <c r="X39" t="b">
        <v>1</v>
      </c>
      <c r="Y39" s="8">
        <f t="shared" si="14"/>
        <v>0.97717470833333353</v>
      </c>
    </row>
    <row r="40" spans="18:25" x14ac:dyDescent="0.3">
      <c r="R40">
        <v>44</v>
      </c>
      <c r="S40" s="8">
        <f t="shared" si="9"/>
        <v>29.330240000000007</v>
      </c>
      <c r="T40" s="8">
        <f t="shared" si="10"/>
        <v>8.074600000000002</v>
      </c>
      <c r="U40" s="9">
        <f t="shared" si="11"/>
        <v>10.392399999999999</v>
      </c>
      <c r="V40" s="9">
        <f t="shared" si="12"/>
        <v>10.355240000000009</v>
      </c>
      <c r="W40" s="9">
        <f t="shared" si="13"/>
        <v>0.50800000000000001</v>
      </c>
      <c r="X40" t="b">
        <v>1</v>
      </c>
      <c r="Y40" s="8">
        <f t="shared" si="14"/>
        <v>0.97767466666666691</v>
      </c>
    </row>
    <row r="41" spans="18:25" x14ac:dyDescent="0.3">
      <c r="R41">
        <v>44.5</v>
      </c>
      <c r="S41" s="8">
        <f t="shared" si="9"/>
        <v>29.346298749999999</v>
      </c>
      <c r="T41" s="8">
        <f t="shared" si="10"/>
        <v>8.2722500000000014</v>
      </c>
      <c r="U41" s="9">
        <f t="shared" si="11"/>
        <v>10.363024999999999</v>
      </c>
      <c r="V41" s="9">
        <f t="shared" si="12"/>
        <v>10.205523749999998</v>
      </c>
      <c r="W41" s="9">
        <f t="shared" si="13"/>
        <v>0.50549999999999995</v>
      </c>
      <c r="X41" t="b">
        <v>1</v>
      </c>
      <c r="Y41" s="8">
        <f t="shared" si="14"/>
        <v>0.97820995833333335</v>
      </c>
    </row>
    <row r="42" spans="18:25" x14ac:dyDescent="0.3">
      <c r="R42">
        <v>45</v>
      </c>
      <c r="S42" s="8">
        <f t="shared" si="9"/>
        <v>29.363349999999997</v>
      </c>
      <c r="T42" s="8">
        <f t="shared" si="10"/>
        <v>8.4694999999999983</v>
      </c>
      <c r="U42" s="9">
        <f t="shared" si="11"/>
        <v>10.3316</v>
      </c>
      <c r="V42" s="9">
        <f t="shared" si="12"/>
        <v>10.059249999999999</v>
      </c>
      <c r="W42" s="9">
        <f t="shared" si="13"/>
        <v>0.503</v>
      </c>
      <c r="X42" t="b">
        <v>1</v>
      </c>
      <c r="Y42" s="8">
        <f t="shared" si="14"/>
        <v>0.97877833333333319</v>
      </c>
    </row>
    <row r="43" spans="18:25" x14ac:dyDescent="0.3">
      <c r="R43">
        <v>45.5</v>
      </c>
      <c r="S43" s="8">
        <f t="shared" si="9"/>
        <v>29.381326249999997</v>
      </c>
      <c r="T43" s="8">
        <f t="shared" si="10"/>
        <v>8.6663499999999996</v>
      </c>
      <c r="U43" s="9">
        <f t="shared" si="11"/>
        <v>10.298124999999999</v>
      </c>
      <c r="V43" s="9">
        <f t="shared" si="12"/>
        <v>9.9163512499999982</v>
      </c>
      <c r="W43" s="9">
        <f t="shared" si="13"/>
        <v>0.50049999999999994</v>
      </c>
      <c r="X43" t="b">
        <v>1</v>
      </c>
      <c r="Y43" s="8">
        <f t="shared" si="14"/>
        <v>0.97937754166666657</v>
      </c>
    </row>
    <row r="44" spans="18:25" x14ac:dyDescent="0.3">
      <c r="R44">
        <v>46</v>
      </c>
      <c r="S44" s="8">
        <f t="shared" si="9"/>
        <v>29.400160000000003</v>
      </c>
      <c r="T44" s="8">
        <f t="shared" si="10"/>
        <v>8.8627999999999982</v>
      </c>
      <c r="U44" s="9">
        <f t="shared" si="11"/>
        <v>10.262599999999999</v>
      </c>
      <c r="V44" s="9">
        <f t="shared" si="12"/>
        <v>9.776760000000003</v>
      </c>
      <c r="W44" s="9">
        <f t="shared" si="13"/>
        <v>0.498</v>
      </c>
      <c r="X44" t="b">
        <v>1</v>
      </c>
      <c r="Y44" s="8">
        <f t="shared" si="14"/>
        <v>0.98000533333333339</v>
      </c>
    </row>
    <row r="45" spans="18:25" x14ac:dyDescent="0.3">
      <c r="R45">
        <v>46.5</v>
      </c>
      <c r="S45" s="8">
        <f t="shared" si="9"/>
        <v>29.419783750000008</v>
      </c>
      <c r="T45" s="8">
        <f t="shared" si="10"/>
        <v>9.0588500000000014</v>
      </c>
      <c r="U45" s="9">
        <f t="shared" si="11"/>
        <v>10.225024999999999</v>
      </c>
      <c r="V45" s="9">
        <f t="shared" si="12"/>
        <v>9.640408750000006</v>
      </c>
      <c r="W45" s="9">
        <f t="shared" si="13"/>
        <v>0.49549999999999994</v>
      </c>
      <c r="X45" t="b">
        <v>1</v>
      </c>
      <c r="Y45" s="8">
        <f t="shared" si="14"/>
        <v>0.98065945833333357</v>
      </c>
    </row>
    <row r="46" spans="18:25" x14ac:dyDescent="0.3">
      <c r="R46">
        <v>47</v>
      </c>
      <c r="S46" s="8">
        <f t="shared" si="9"/>
        <v>29.440130000000007</v>
      </c>
      <c r="T46" s="8">
        <f t="shared" si="10"/>
        <v>9.2545000000000019</v>
      </c>
      <c r="U46" s="9">
        <f t="shared" si="11"/>
        <v>10.1854</v>
      </c>
      <c r="V46" s="9">
        <f t="shared" si="12"/>
        <v>9.507230000000007</v>
      </c>
      <c r="W46" s="9">
        <f t="shared" si="13"/>
        <v>0.49299999999999999</v>
      </c>
      <c r="X46" t="b">
        <v>1</v>
      </c>
      <c r="Y46" s="8">
        <f t="shared" si="14"/>
        <v>0.98133766666666689</v>
      </c>
    </row>
    <row r="47" spans="18:25" x14ac:dyDescent="0.3">
      <c r="R47">
        <v>47.5</v>
      </c>
      <c r="S47" s="8">
        <f t="shared" si="9"/>
        <v>29.461131250000005</v>
      </c>
      <c r="T47" s="8">
        <f t="shared" si="10"/>
        <v>9.4497499999999999</v>
      </c>
      <c r="U47" s="9">
        <f t="shared" si="11"/>
        <v>10.143724999999998</v>
      </c>
      <c r="V47" s="9">
        <f t="shared" si="12"/>
        <v>9.3771562500000059</v>
      </c>
      <c r="W47" s="9">
        <f t="shared" si="13"/>
        <v>0.49049999999999994</v>
      </c>
      <c r="X47" t="b">
        <v>1</v>
      </c>
      <c r="Y47" s="8">
        <f t="shared" si="14"/>
        <v>0.98203770833333348</v>
      </c>
    </row>
    <row r="48" spans="18:25" x14ac:dyDescent="0.3">
      <c r="R48">
        <v>48</v>
      </c>
      <c r="S48" s="8">
        <f t="shared" si="9"/>
        <v>29.482720000000008</v>
      </c>
      <c r="T48" s="8">
        <f t="shared" si="10"/>
        <v>9.6446000000000023</v>
      </c>
      <c r="U48" s="9">
        <f t="shared" si="11"/>
        <v>10.099999999999998</v>
      </c>
      <c r="V48" s="9">
        <f t="shared" si="12"/>
        <v>9.2501200000000097</v>
      </c>
      <c r="W48" s="9">
        <f t="shared" si="13"/>
        <v>0.48799999999999999</v>
      </c>
      <c r="X48" t="b">
        <v>1</v>
      </c>
      <c r="Y48" s="8">
        <f t="shared" si="14"/>
        <v>0.98275733333333359</v>
      </c>
    </row>
    <row r="49" spans="18:25" x14ac:dyDescent="0.3">
      <c r="R49">
        <v>48.5</v>
      </c>
      <c r="S49" s="8">
        <f t="shared" si="9"/>
        <v>29.504828749999984</v>
      </c>
      <c r="T49" s="8">
        <f t="shared" si="10"/>
        <v>9.8390499999999985</v>
      </c>
      <c r="U49" s="9">
        <f t="shared" si="11"/>
        <v>10.054224999999999</v>
      </c>
      <c r="V49" s="9">
        <f t="shared" si="12"/>
        <v>9.1260537499999899</v>
      </c>
      <c r="W49" s="9">
        <f t="shared" si="13"/>
        <v>0.48549999999999999</v>
      </c>
      <c r="X49" t="b">
        <v>1</v>
      </c>
      <c r="Y49" s="8">
        <f t="shared" si="14"/>
        <v>0.98349429166666613</v>
      </c>
    </row>
    <row r="50" spans="18:25" x14ac:dyDescent="0.3">
      <c r="R50">
        <v>49</v>
      </c>
      <c r="S50" s="8">
        <f t="shared" si="9"/>
        <v>29.527389999999997</v>
      </c>
      <c r="T50" s="8">
        <f t="shared" si="10"/>
        <v>10.033100000000003</v>
      </c>
      <c r="U50" s="9">
        <f t="shared" si="11"/>
        <v>10.006399999999998</v>
      </c>
      <c r="V50" s="9">
        <f t="shared" si="12"/>
        <v>9.0048899999999961</v>
      </c>
      <c r="W50" s="9">
        <f t="shared" si="13"/>
        <v>0.48299999999999998</v>
      </c>
      <c r="X50" t="b">
        <v>1</v>
      </c>
      <c r="Y50" s="8">
        <f t="shared" si="14"/>
        <v>0.98424633333333322</v>
      </c>
    </row>
    <row r="51" spans="18:25" x14ac:dyDescent="0.3">
      <c r="R51">
        <v>49.5</v>
      </c>
      <c r="S51" s="8">
        <f t="shared" si="9"/>
        <v>29.550336250000001</v>
      </c>
      <c r="T51" s="8">
        <f t="shared" si="10"/>
        <v>10.226750000000001</v>
      </c>
      <c r="U51" s="9">
        <f t="shared" si="11"/>
        <v>9.9565249999999992</v>
      </c>
      <c r="V51" s="9">
        <f t="shared" si="12"/>
        <v>8.8865612499999997</v>
      </c>
      <c r="W51" s="9">
        <f t="shared" si="13"/>
        <v>0.48049999999999998</v>
      </c>
      <c r="X51" t="b">
        <v>1</v>
      </c>
      <c r="Y51" s="8">
        <f t="shared" si="14"/>
        <v>0.98501120833333333</v>
      </c>
    </row>
    <row r="52" spans="18:25" x14ac:dyDescent="0.3">
      <c r="R52">
        <v>50</v>
      </c>
      <c r="S52" s="8">
        <f t="shared" si="9"/>
        <v>29.573599999999999</v>
      </c>
      <c r="T52" s="8">
        <f t="shared" si="10"/>
        <v>10.42</v>
      </c>
      <c r="U52" s="9">
        <f t="shared" si="11"/>
        <v>9.9045999999999985</v>
      </c>
      <c r="V52" s="9">
        <f t="shared" si="12"/>
        <v>8.7710000000000008</v>
      </c>
      <c r="W52" s="9">
        <f t="shared" si="13"/>
        <v>0.47799999999999998</v>
      </c>
      <c r="X52" t="b">
        <v>1</v>
      </c>
      <c r="Y52" s="8">
        <f t="shared" si="14"/>
        <v>0.98578666666666659</v>
      </c>
    </row>
    <row r="53" spans="18:25" x14ac:dyDescent="0.3">
      <c r="R53">
        <v>50.5</v>
      </c>
      <c r="S53" s="8">
        <f t="shared" si="9"/>
        <v>29.597113750000009</v>
      </c>
      <c r="T53" s="8">
        <f t="shared" si="10"/>
        <v>10.612850000000003</v>
      </c>
      <c r="U53" s="9">
        <f t="shared" si="11"/>
        <v>9.8506249999999991</v>
      </c>
      <c r="V53" s="9">
        <f t="shared" si="12"/>
        <v>8.6581387500000062</v>
      </c>
      <c r="W53" s="9">
        <f t="shared" si="13"/>
        <v>0.47549999999999998</v>
      </c>
      <c r="X53" t="b">
        <v>1</v>
      </c>
      <c r="Y53" s="8">
        <f t="shared" si="14"/>
        <v>0.98657045833333368</v>
      </c>
    </row>
    <row r="54" spans="18:25" x14ac:dyDescent="0.3">
      <c r="R54">
        <v>51</v>
      </c>
      <c r="S54" s="8">
        <f t="shared" si="9"/>
        <v>29.620809999999999</v>
      </c>
      <c r="T54" s="8">
        <f t="shared" si="10"/>
        <v>10.805300000000001</v>
      </c>
      <c r="U54" s="9">
        <f t="shared" si="11"/>
        <v>9.7945999999999973</v>
      </c>
      <c r="V54" s="9">
        <f t="shared" si="12"/>
        <v>8.5479100000000017</v>
      </c>
      <c r="W54" s="9">
        <f t="shared" si="13"/>
        <v>0.47299999999999998</v>
      </c>
      <c r="X54" t="b">
        <v>1</v>
      </c>
      <c r="Y54" s="8">
        <f t="shared" si="14"/>
        <v>0.98736033333333328</v>
      </c>
    </row>
    <row r="55" spans="18:25" x14ac:dyDescent="0.3">
      <c r="R55">
        <v>51.5</v>
      </c>
      <c r="S55" s="8">
        <f t="shared" si="9"/>
        <v>29.64462125</v>
      </c>
      <c r="T55" s="8">
        <f t="shared" si="10"/>
        <v>10.997349999999999</v>
      </c>
      <c r="U55" s="9">
        <f t="shared" si="11"/>
        <v>9.7365249999999985</v>
      </c>
      <c r="V55" s="9">
        <f t="shared" si="12"/>
        <v>8.4402462500000013</v>
      </c>
      <c r="W55" s="9">
        <f t="shared" si="13"/>
        <v>0.47049999999999997</v>
      </c>
      <c r="X55" t="b">
        <v>1</v>
      </c>
      <c r="Y55" s="8">
        <f t="shared" si="14"/>
        <v>0.98815404166666665</v>
      </c>
    </row>
    <row r="56" spans="18:25" x14ac:dyDescent="0.3">
      <c r="R56">
        <v>52</v>
      </c>
      <c r="S56" s="8">
        <f t="shared" si="9"/>
        <v>29.668480000000006</v>
      </c>
      <c r="T56" s="8">
        <f t="shared" si="10"/>
        <v>11.189000000000002</v>
      </c>
      <c r="U56" s="9">
        <f t="shared" si="11"/>
        <v>9.6763999999999974</v>
      </c>
      <c r="V56" s="9">
        <f t="shared" si="12"/>
        <v>8.3350800000000049</v>
      </c>
      <c r="W56" s="9">
        <f t="shared" si="13"/>
        <v>0.46799999999999997</v>
      </c>
      <c r="X56" t="b">
        <v>1</v>
      </c>
      <c r="Y56" s="8">
        <f t="shared" si="14"/>
        <v>0.98894933333333357</v>
      </c>
    </row>
    <row r="57" spans="18:25" x14ac:dyDescent="0.3">
      <c r="R57">
        <v>52.5</v>
      </c>
      <c r="S57" s="8">
        <f t="shared" si="9"/>
        <v>29.692318750000013</v>
      </c>
      <c r="T57" s="8">
        <f t="shared" si="10"/>
        <v>11.380250000000002</v>
      </c>
      <c r="U57" s="9">
        <f t="shared" si="11"/>
        <v>9.6142249999999994</v>
      </c>
      <c r="V57" s="9">
        <f t="shared" si="12"/>
        <v>8.2323437500000125</v>
      </c>
      <c r="W57" s="9">
        <f t="shared" si="13"/>
        <v>0.46549999999999997</v>
      </c>
      <c r="X57" t="b">
        <v>1</v>
      </c>
      <c r="Y57" s="8">
        <f t="shared" si="14"/>
        <v>0.98974395833333373</v>
      </c>
    </row>
    <row r="58" spans="18:25" x14ac:dyDescent="0.3">
      <c r="R58">
        <v>53</v>
      </c>
      <c r="S58" s="8">
        <f t="shared" si="9"/>
        <v>29.716069999999998</v>
      </c>
      <c r="T58" s="8">
        <f t="shared" si="10"/>
        <v>11.571100000000003</v>
      </c>
      <c r="U58" s="9">
        <f t="shared" si="11"/>
        <v>9.5499999999999989</v>
      </c>
      <c r="V58" s="9">
        <f t="shared" si="12"/>
        <v>8.1319699999999955</v>
      </c>
      <c r="W58" s="9">
        <f t="shared" si="13"/>
        <v>0.46299999999999997</v>
      </c>
      <c r="X58" t="b">
        <v>1</v>
      </c>
      <c r="Y58" s="8">
        <f t="shared" si="14"/>
        <v>0.99053566666666659</v>
      </c>
    </row>
    <row r="59" spans="18:25" x14ac:dyDescent="0.3">
      <c r="R59">
        <v>53.5</v>
      </c>
      <c r="S59" s="8">
        <f t="shared" si="9"/>
        <v>29.739666249999996</v>
      </c>
      <c r="T59" s="8">
        <f t="shared" si="10"/>
        <v>11.761550000000002</v>
      </c>
      <c r="U59" s="9">
        <f t="shared" si="11"/>
        <v>9.483724999999998</v>
      </c>
      <c r="V59" s="9">
        <f t="shared" si="12"/>
        <v>8.0338912499999964</v>
      </c>
      <c r="W59" s="9">
        <f t="shared" si="13"/>
        <v>0.46049999999999996</v>
      </c>
      <c r="X59" t="b">
        <v>1</v>
      </c>
      <c r="Y59" s="8">
        <f t="shared" si="14"/>
        <v>0.99132220833333318</v>
      </c>
    </row>
    <row r="60" spans="18:25" x14ac:dyDescent="0.3">
      <c r="R60">
        <v>54</v>
      </c>
      <c r="S60" s="8">
        <f t="shared" si="9"/>
        <v>29.763039999999997</v>
      </c>
      <c r="T60" s="8">
        <f t="shared" si="10"/>
        <v>11.951600000000001</v>
      </c>
      <c r="U60" s="9">
        <f t="shared" si="11"/>
        <v>9.4153999999999982</v>
      </c>
      <c r="V60" s="9">
        <f t="shared" si="12"/>
        <v>7.9380400000000009</v>
      </c>
      <c r="W60" s="9">
        <f t="shared" si="13"/>
        <v>0.45799999999999996</v>
      </c>
      <c r="X60" t="b">
        <v>1</v>
      </c>
      <c r="Y60" s="8">
        <f t="shared" si="14"/>
        <v>0.99210133333333317</v>
      </c>
    </row>
    <row r="61" spans="18:25" x14ac:dyDescent="0.3">
      <c r="R61">
        <v>54.5</v>
      </c>
      <c r="S61" s="8">
        <f t="shared" si="9"/>
        <v>29.786123750000002</v>
      </c>
      <c r="T61" s="8">
        <f t="shared" si="10"/>
        <v>12.141250000000001</v>
      </c>
      <c r="U61" s="9">
        <f t="shared" si="11"/>
        <v>9.3450249999999961</v>
      </c>
      <c r="V61" s="9">
        <f t="shared" si="12"/>
        <v>7.8443487500000018</v>
      </c>
      <c r="W61" s="9">
        <f t="shared" si="13"/>
        <v>0.45549999999999996</v>
      </c>
      <c r="X61" t="b">
        <v>1</v>
      </c>
      <c r="Y61" s="8">
        <f t="shared" si="14"/>
        <v>0.9928707916666667</v>
      </c>
    </row>
    <row r="62" spans="18:25" x14ac:dyDescent="0.3">
      <c r="R62">
        <v>55</v>
      </c>
      <c r="S62" s="8">
        <f t="shared" si="9"/>
        <v>29.808849999999996</v>
      </c>
      <c r="T62" s="8">
        <f t="shared" si="10"/>
        <v>12.330499999999999</v>
      </c>
      <c r="U62" s="9">
        <f t="shared" si="11"/>
        <v>9.2725999999999988</v>
      </c>
      <c r="V62" s="9">
        <f t="shared" si="12"/>
        <v>7.7527499999999989</v>
      </c>
      <c r="W62" s="9">
        <f t="shared" si="13"/>
        <v>0.45299999999999996</v>
      </c>
      <c r="X62" t="b">
        <v>1</v>
      </c>
      <c r="Y62" s="8">
        <f t="shared" si="14"/>
        <v>0.99362833333333322</v>
      </c>
    </row>
    <row r="63" spans="18:25" x14ac:dyDescent="0.3">
      <c r="R63">
        <v>55.5</v>
      </c>
      <c r="S63" s="8">
        <f t="shared" si="9"/>
        <v>29.831151250000008</v>
      </c>
      <c r="T63" s="8">
        <f t="shared" si="10"/>
        <v>12.519350000000001</v>
      </c>
      <c r="U63" s="9">
        <f t="shared" si="11"/>
        <v>9.1981249999999992</v>
      </c>
      <c r="V63" s="9">
        <f t="shared" si="12"/>
        <v>7.6631762500000065</v>
      </c>
      <c r="W63" s="9">
        <f t="shared" si="13"/>
        <v>0.45049999999999996</v>
      </c>
      <c r="X63" t="b">
        <v>1</v>
      </c>
      <c r="Y63" s="8">
        <f t="shared" si="14"/>
        <v>0.99437170833333366</v>
      </c>
    </row>
    <row r="64" spans="18:25" x14ac:dyDescent="0.3">
      <c r="R64">
        <v>56</v>
      </c>
      <c r="S64" s="8">
        <f t="shared" si="9"/>
        <v>29.85296000000001</v>
      </c>
      <c r="T64" s="8">
        <f t="shared" si="10"/>
        <v>12.707800000000001</v>
      </c>
      <c r="U64" s="9">
        <f t="shared" si="11"/>
        <v>9.1215999999999973</v>
      </c>
      <c r="V64" s="9">
        <f t="shared" si="12"/>
        <v>7.5755600000000101</v>
      </c>
      <c r="W64" s="9">
        <f t="shared" si="13"/>
        <v>0.44799999999999995</v>
      </c>
      <c r="X64" t="b">
        <v>1</v>
      </c>
      <c r="Y64" s="8">
        <f t="shared" si="14"/>
        <v>0.99509866666666702</v>
      </c>
    </row>
    <row r="65" spans="18:25" x14ac:dyDescent="0.3">
      <c r="R65">
        <v>56.5</v>
      </c>
      <c r="S65" s="8">
        <f t="shared" ref="S65:S96" si="15">SUM(T65:W65)</f>
        <v>29.874208749999998</v>
      </c>
      <c r="T65" s="8">
        <f t="shared" ref="T65:T96" si="16" xml:space="preserve"> -0.0008 * R65^2 + 0.4661 * R65 - 10.885</f>
        <v>12.895850000000001</v>
      </c>
      <c r="U65" s="9">
        <f t="shared" ref="U65:U96" si="17" xml:space="preserve"> -0.0041 * R65^2 + 0.3041 * R65 + 4.9496</f>
        <v>9.0430249999999965</v>
      </c>
      <c r="V65" s="9">
        <f t="shared" ref="V65:V96" si="18" xml:space="preserve"> -0.00009 * R65^3 + 0.0189 * R65^2 - 1.4434 * R65 + 44.941</f>
        <v>7.4898337500000025</v>
      </c>
      <c r="W65" s="9">
        <f t="shared" ref="W65:W96" si="19" xml:space="preserve"> -0.005 * R65 + 0.728</f>
        <v>0.44549999999999995</v>
      </c>
      <c r="X65" t="b">
        <v>1</v>
      </c>
      <c r="Y65" s="8">
        <f t="shared" ref="Y65:Y96" si="20">S65/$R$2</f>
        <v>0.99580695833333321</v>
      </c>
    </row>
    <row r="66" spans="18:25" x14ac:dyDescent="0.3">
      <c r="R66">
        <v>57</v>
      </c>
      <c r="S66" s="8">
        <f t="shared" si="15"/>
        <v>29.894830000000017</v>
      </c>
      <c r="T66" s="8">
        <f t="shared" si="16"/>
        <v>13.083500000000003</v>
      </c>
      <c r="U66" s="9">
        <f t="shared" si="17"/>
        <v>8.9623999999999988</v>
      </c>
      <c r="V66" s="9">
        <f t="shared" si="18"/>
        <v>7.4059300000000121</v>
      </c>
      <c r="W66" s="9">
        <f t="shared" si="19"/>
        <v>0.44299999999999995</v>
      </c>
      <c r="X66" t="b">
        <v>1</v>
      </c>
      <c r="Y66" s="8">
        <f t="shared" si="20"/>
        <v>0.99649433333333393</v>
      </c>
    </row>
    <row r="67" spans="18:25" x14ac:dyDescent="0.3">
      <c r="R67">
        <v>57.5</v>
      </c>
      <c r="S67" s="8">
        <f t="shared" si="15"/>
        <v>29.914756249999996</v>
      </c>
      <c r="T67" s="8">
        <f t="shared" si="16"/>
        <v>13.270750000000001</v>
      </c>
      <c r="U67" s="9">
        <f t="shared" si="17"/>
        <v>8.8797249999999988</v>
      </c>
      <c r="V67" s="9">
        <f t="shared" si="18"/>
        <v>7.3237812499999961</v>
      </c>
      <c r="W67" s="9">
        <f t="shared" si="19"/>
        <v>0.44049999999999995</v>
      </c>
      <c r="X67" t="b">
        <v>1</v>
      </c>
      <c r="Y67" s="8">
        <f t="shared" si="20"/>
        <v>0.99715854166666651</v>
      </c>
    </row>
    <row r="68" spans="18:25" x14ac:dyDescent="0.3">
      <c r="R68">
        <v>58</v>
      </c>
      <c r="S68" s="8">
        <f t="shared" si="15"/>
        <v>29.93391999999999</v>
      </c>
      <c r="T68" s="8">
        <f t="shared" si="16"/>
        <v>13.457599999999998</v>
      </c>
      <c r="U68" s="9">
        <f t="shared" si="17"/>
        <v>8.7949999999999982</v>
      </c>
      <c r="V68" s="9">
        <f t="shared" si="18"/>
        <v>7.2433199999999971</v>
      </c>
      <c r="W68" s="9">
        <f t="shared" si="19"/>
        <v>0.438</v>
      </c>
      <c r="X68" t="b">
        <v>1</v>
      </c>
      <c r="Y68" s="8">
        <f t="shared" si="20"/>
        <v>0.99779733333333298</v>
      </c>
    </row>
    <row r="69" spans="18:25" x14ac:dyDescent="0.3">
      <c r="R69">
        <v>58.5</v>
      </c>
      <c r="S69" s="8">
        <f t="shared" si="15"/>
        <v>29.952253750000001</v>
      </c>
      <c r="T69" s="8">
        <f t="shared" si="16"/>
        <v>13.644050000000002</v>
      </c>
      <c r="U69" s="9">
        <f t="shared" si="17"/>
        <v>8.708224999999997</v>
      </c>
      <c r="V69" s="9">
        <f t="shared" si="18"/>
        <v>7.1644787500000007</v>
      </c>
      <c r="W69" s="9">
        <f t="shared" si="19"/>
        <v>0.4355</v>
      </c>
      <c r="X69" t="b">
        <v>1</v>
      </c>
      <c r="Y69" s="8">
        <f t="shared" si="20"/>
        <v>0.99840845833333336</v>
      </c>
    </row>
    <row r="70" spans="18:25" x14ac:dyDescent="0.3">
      <c r="R70">
        <v>59</v>
      </c>
      <c r="S70" s="8">
        <f t="shared" si="15"/>
        <v>29.969689999999993</v>
      </c>
      <c r="T70" s="8">
        <f t="shared" si="16"/>
        <v>13.8301</v>
      </c>
      <c r="U70" s="9">
        <f t="shared" si="17"/>
        <v>8.6193999999999988</v>
      </c>
      <c r="V70" s="9">
        <f t="shared" si="18"/>
        <v>7.0871899999999926</v>
      </c>
      <c r="W70" s="9">
        <f t="shared" si="19"/>
        <v>0.433</v>
      </c>
      <c r="X70" t="b">
        <v>1</v>
      </c>
      <c r="Y70" s="8">
        <f t="shared" si="20"/>
        <v>0.99898966666666644</v>
      </c>
    </row>
    <row r="71" spans="18:25" x14ac:dyDescent="0.3">
      <c r="R71">
        <v>59.5</v>
      </c>
      <c r="S71" s="8">
        <f t="shared" si="15"/>
        <v>29.986161249999999</v>
      </c>
      <c r="T71" s="8">
        <f t="shared" si="16"/>
        <v>14.015750000000002</v>
      </c>
      <c r="U71" s="9">
        <f t="shared" si="17"/>
        <v>8.5285249999999984</v>
      </c>
      <c r="V71" s="9">
        <f t="shared" si="18"/>
        <v>7.011386250000001</v>
      </c>
      <c r="W71" s="9">
        <f t="shared" si="19"/>
        <v>0.43049999999999999</v>
      </c>
      <c r="X71" t="b">
        <v>1</v>
      </c>
      <c r="Y71" s="8">
        <f t="shared" si="20"/>
        <v>0.99953870833333325</v>
      </c>
    </row>
    <row r="72" spans="18:25" x14ac:dyDescent="0.3">
      <c r="R72">
        <v>60</v>
      </c>
      <c r="S72" s="8">
        <f t="shared" si="15"/>
        <v>30.001600000000014</v>
      </c>
      <c r="T72" s="8">
        <f t="shared" si="16"/>
        <v>14.201000000000002</v>
      </c>
      <c r="U72" s="9">
        <f t="shared" si="17"/>
        <v>8.4355999999999973</v>
      </c>
      <c r="V72" s="9">
        <f t="shared" si="18"/>
        <v>6.9370000000000118</v>
      </c>
      <c r="W72" s="9">
        <f t="shared" si="19"/>
        <v>0.42799999999999999</v>
      </c>
      <c r="X72" t="b">
        <v>1</v>
      </c>
      <c r="Y72" s="8">
        <f t="shared" si="20"/>
        <v>1.0000533333333339</v>
      </c>
    </row>
    <row r="73" spans="18:25" x14ac:dyDescent="0.3">
      <c r="R73">
        <v>60.5</v>
      </c>
      <c r="S73" s="8">
        <f t="shared" si="15"/>
        <v>30.01593875</v>
      </c>
      <c r="T73" s="8">
        <f t="shared" si="16"/>
        <v>14.38585</v>
      </c>
      <c r="U73" s="9">
        <f t="shared" si="17"/>
        <v>8.3406249999999975</v>
      </c>
      <c r="V73" s="9">
        <f t="shared" si="18"/>
        <v>6.8639637500000035</v>
      </c>
      <c r="W73" s="9">
        <f t="shared" si="19"/>
        <v>0.42549999999999999</v>
      </c>
      <c r="X73" t="b">
        <v>1</v>
      </c>
      <c r="Y73" s="8">
        <f t="shared" si="20"/>
        <v>1.0005312916666667</v>
      </c>
    </row>
    <row r="74" spans="18:25" x14ac:dyDescent="0.3">
      <c r="R74">
        <v>61</v>
      </c>
      <c r="S74" s="8">
        <f t="shared" si="15"/>
        <v>30.029109999999996</v>
      </c>
      <c r="T74" s="8">
        <f t="shared" si="16"/>
        <v>14.570300000000001</v>
      </c>
      <c r="U74" s="9">
        <f t="shared" si="17"/>
        <v>8.2435999999999989</v>
      </c>
      <c r="V74" s="9">
        <f t="shared" si="18"/>
        <v>6.7922099999999972</v>
      </c>
      <c r="W74" s="9">
        <f t="shared" si="19"/>
        <v>0.42299999999999999</v>
      </c>
      <c r="X74" t="b">
        <v>1</v>
      </c>
      <c r="Y74" s="8">
        <f t="shared" si="20"/>
        <v>1.0009703333333333</v>
      </c>
    </row>
    <row r="75" spans="18:25" x14ac:dyDescent="0.3">
      <c r="R75">
        <v>61.5</v>
      </c>
      <c r="S75" s="8">
        <f t="shared" si="15"/>
        <v>30.041046250000011</v>
      </c>
      <c r="T75" s="8">
        <f t="shared" si="16"/>
        <v>14.754350000000001</v>
      </c>
      <c r="U75" s="9">
        <f t="shared" si="17"/>
        <v>8.144524999999998</v>
      </c>
      <c r="V75" s="9">
        <f t="shared" si="18"/>
        <v>6.7216712500000142</v>
      </c>
      <c r="W75" s="9">
        <f t="shared" si="19"/>
        <v>0.42049999999999998</v>
      </c>
      <c r="X75" t="b">
        <v>1</v>
      </c>
      <c r="Y75" s="8">
        <f t="shared" si="20"/>
        <v>1.0013682083333337</v>
      </c>
    </row>
    <row r="76" spans="18:25" x14ac:dyDescent="0.3">
      <c r="R76">
        <v>62</v>
      </c>
      <c r="S76" s="8">
        <f t="shared" si="15"/>
        <v>30.051679999999998</v>
      </c>
      <c r="T76" s="8">
        <f t="shared" si="16"/>
        <v>14.938000000000001</v>
      </c>
      <c r="U76" s="9">
        <f t="shared" si="17"/>
        <v>8.0433999999999983</v>
      </c>
      <c r="V76" s="9">
        <f t="shared" si="18"/>
        <v>6.6522799999999975</v>
      </c>
      <c r="W76" s="9">
        <f t="shared" si="19"/>
        <v>0.41799999999999998</v>
      </c>
      <c r="X76" t="b">
        <v>1</v>
      </c>
      <c r="Y76" s="8">
        <f t="shared" si="20"/>
        <v>1.0017226666666665</v>
      </c>
    </row>
    <row r="77" spans="18:25" x14ac:dyDescent="0.3">
      <c r="R77">
        <v>62.5</v>
      </c>
      <c r="S77" s="8">
        <f t="shared" si="15"/>
        <v>30.06094375</v>
      </c>
      <c r="T77" s="8">
        <f t="shared" si="16"/>
        <v>15.121250000000002</v>
      </c>
      <c r="U77" s="9">
        <f t="shared" si="17"/>
        <v>7.9402249999999981</v>
      </c>
      <c r="V77" s="9">
        <f t="shared" si="18"/>
        <v>6.5839687499999968</v>
      </c>
      <c r="W77" s="9">
        <f t="shared" si="19"/>
        <v>0.41549999999999998</v>
      </c>
      <c r="X77" t="b">
        <v>1</v>
      </c>
      <c r="Y77" s="8">
        <f t="shared" si="20"/>
        <v>1.0020314583333334</v>
      </c>
    </row>
    <row r="78" spans="18:25" x14ac:dyDescent="0.3">
      <c r="R78">
        <v>63</v>
      </c>
      <c r="S78" s="8">
        <f t="shared" si="15"/>
        <v>30.068769999999997</v>
      </c>
      <c r="T78" s="8">
        <f t="shared" si="16"/>
        <v>15.3041</v>
      </c>
      <c r="U78" s="9">
        <f t="shared" si="17"/>
        <v>7.8350000000000009</v>
      </c>
      <c r="V78" s="9">
        <f t="shared" si="18"/>
        <v>6.5166699999999977</v>
      </c>
      <c r="W78" s="9">
        <f t="shared" si="19"/>
        <v>0.41299999999999998</v>
      </c>
      <c r="X78" t="b">
        <v>1</v>
      </c>
      <c r="Y78" s="8">
        <f t="shared" si="20"/>
        <v>1.0022923333333333</v>
      </c>
    </row>
    <row r="79" spans="18:25" x14ac:dyDescent="0.3">
      <c r="R79">
        <v>63.5</v>
      </c>
      <c r="S79" s="8">
        <f t="shared" si="15"/>
        <v>30.07509125</v>
      </c>
      <c r="T79" s="8">
        <f t="shared" si="16"/>
        <v>15.486550000000003</v>
      </c>
      <c r="U79" s="9">
        <f t="shared" si="17"/>
        <v>7.7277249999999995</v>
      </c>
      <c r="V79" s="9">
        <f t="shared" si="18"/>
        <v>6.4503162500000002</v>
      </c>
      <c r="W79" s="9">
        <f t="shared" si="19"/>
        <v>0.41049999999999998</v>
      </c>
      <c r="X79" t="b">
        <v>1</v>
      </c>
      <c r="Y79" s="8">
        <f t="shared" si="20"/>
        <v>1.0025030416666667</v>
      </c>
    </row>
    <row r="80" spans="18:25" x14ac:dyDescent="0.3">
      <c r="R80">
        <v>64</v>
      </c>
      <c r="S80" s="8">
        <f t="shared" si="15"/>
        <v>30.079839999999997</v>
      </c>
      <c r="T80" s="8">
        <f t="shared" si="16"/>
        <v>15.6686</v>
      </c>
      <c r="U80" s="9">
        <f t="shared" si="17"/>
        <v>7.6183999999999976</v>
      </c>
      <c r="V80" s="9">
        <f t="shared" si="18"/>
        <v>6.384839999999997</v>
      </c>
      <c r="W80" s="9">
        <f t="shared" si="19"/>
        <v>0.40799999999999997</v>
      </c>
      <c r="X80" t="b">
        <v>1</v>
      </c>
      <c r="Y80" s="8">
        <f t="shared" si="20"/>
        <v>1.0026613333333332</v>
      </c>
    </row>
    <row r="81" spans="18:25" x14ac:dyDescent="0.3">
      <c r="R81">
        <v>64.5</v>
      </c>
      <c r="S81" s="8">
        <f t="shared" si="15"/>
        <v>30.082948750000003</v>
      </c>
      <c r="T81" s="8">
        <f t="shared" si="16"/>
        <v>15.850250000000001</v>
      </c>
      <c r="U81" s="9">
        <f t="shared" si="17"/>
        <v>7.5070249999999952</v>
      </c>
      <c r="V81" s="9">
        <f t="shared" si="18"/>
        <v>6.3201737500000092</v>
      </c>
      <c r="W81" s="9">
        <f t="shared" si="19"/>
        <v>0.40549999999999997</v>
      </c>
      <c r="X81" t="b">
        <v>1</v>
      </c>
      <c r="Y81" s="8">
        <f t="shared" si="20"/>
        <v>1.0027649583333333</v>
      </c>
    </row>
    <row r="82" spans="18:25" x14ac:dyDescent="0.3">
      <c r="R82">
        <v>65</v>
      </c>
      <c r="S82" s="8">
        <f t="shared" si="15"/>
        <v>30.084350000000004</v>
      </c>
      <c r="T82" s="8">
        <f t="shared" si="16"/>
        <v>16.031500000000001</v>
      </c>
      <c r="U82" s="9">
        <f t="shared" si="17"/>
        <v>7.3935999999999957</v>
      </c>
      <c r="V82" s="9">
        <f t="shared" si="18"/>
        <v>6.2562500000000085</v>
      </c>
      <c r="W82" s="9">
        <f t="shared" si="19"/>
        <v>0.40299999999999997</v>
      </c>
      <c r="X82" t="b">
        <v>1</v>
      </c>
      <c r="Y82" s="8">
        <f t="shared" si="20"/>
        <v>1.0028116666666669</v>
      </c>
    </row>
    <row r="83" spans="18:25" x14ac:dyDescent="0.3">
      <c r="R83">
        <v>65.5</v>
      </c>
      <c r="S83" s="8">
        <f t="shared" si="15"/>
        <v>30.083976250000003</v>
      </c>
      <c r="T83" s="8">
        <f t="shared" si="16"/>
        <v>16.212350000000001</v>
      </c>
      <c r="U83" s="9">
        <f t="shared" si="17"/>
        <v>7.2781249999999993</v>
      </c>
      <c r="V83" s="9">
        <f t="shared" si="18"/>
        <v>6.1930012500000018</v>
      </c>
      <c r="W83" s="9">
        <f t="shared" si="19"/>
        <v>0.40049999999999997</v>
      </c>
      <c r="X83" t="b">
        <v>1</v>
      </c>
      <c r="Y83" s="8">
        <f t="shared" si="20"/>
        <v>1.0027992083333335</v>
      </c>
    </row>
    <row r="84" spans="18:25" x14ac:dyDescent="0.3">
      <c r="R84">
        <v>66</v>
      </c>
      <c r="S84" s="8">
        <f t="shared" si="15"/>
        <v>30.08176000000001</v>
      </c>
      <c r="T84" s="8">
        <f t="shared" si="16"/>
        <v>16.392800000000001</v>
      </c>
      <c r="U84" s="9">
        <f t="shared" si="17"/>
        <v>7.1605999999999987</v>
      </c>
      <c r="V84" s="9">
        <f t="shared" si="18"/>
        <v>6.1303600000000102</v>
      </c>
      <c r="W84" s="9">
        <f t="shared" si="19"/>
        <v>0.39799999999999996</v>
      </c>
      <c r="X84" t="b">
        <v>1</v>
      </c>
      <c r="Y84" s="8">
        <f t="shared" si="20"/>
        <v>1.0027253333333337</v>
      </c>
    </row>
    <row r="85" spans="18:25" x14ac:dyDescent="0.3">
      <c r="R85">
        <v>66.5</v>
      </c>
      <c r="S85" s="8">
        <f t="shared" si="15"/>
        <v>30.077633749999983</v>
      </c>
      <c r="T85" s="8">
        <f t="shared" si="16"/>
        <v>16.572850000000003</v>
      </c>
      <c r="U85" s="9">
        <f t="shared" si="17"/>
        <v>7.0410249999999976</v>
      </c>
      <c r="V85" s="9">
        <f t="shared" si="18"/>
        <v>6.068258749999984</v>
      </c>
      <c r="W85" s="9">
        <f t="shared" si="19"/>
        <v>0.39549999999999996</v>
      </c>
      <c r="X85" t="b">
        <v>1</v>
      </c>
      <c r="Y85" s="8">
        <f t="shared" si="20"/>
        <v>1.0025877916666661</v>
      </c>
    </row>
    <row r="86" spans="18:25" x14ac:dyDescent="0.3">
      <c r="R86">
        <v>67</v>
      </c>
      <c r="S86" s="8">
        <f t="shared" si="15"/>
        <v>30.071529999999996</v>
      </c>
      <c r="T86" s="8">
        <f t="shared" si="16"/>
        <v>16.752499999999998</v>
      </c>
      <c r="U86" s="9">
        <f t="shared" si="17"/>
        <v>6.919399999999996</v>
      </c>
      <c r="V86" s="9">
        <f t="shared" si="18"/>
        <v>6.0066300000000012</v>
      </c>
      <c r="W86" s="9">
        <f t="shared" si="19"/>
        <v>0.39299999999999996</v>
      </c>
      <c r="X86" t="b">
        <v>1</v>
      </c>
      <c r="Y86" s="8">
        <f t="shared" si="20"/>
        <v>1.0023843333333331</v>
      </c>
    </row>
    <row r="87" spans="18:25" x14ac:dyDescent="0.3">
      <c r="R87">
        <v>67.5</v>
      </c>
      <c r="S87" s="8">
        <f t="shared" si="15"/>
        <v>30.063381249999988</v>
      </c>
      <c r="T87" s="8">
        <f t="shared" si="16"/>
        <v>16.931750000000001</v>
      </c>
      <c r="U87" s="9">
        <f t="shared" si="17"/>
        <v>6.7957249999999974</v>
      </c>
      <c r="V87" s="9">
        <f t="shared" si="18"/>
        <v>5.9454062499999907</v>
      </c>
      <c r="W87" s="9">
        <f t="shared" si="19"/>
        <v>0.39049999999999996</v>
      </c>
      <c r="X87" t="b">
        <v>1</v>
      </c>
      <c r="Y87" s="8">
        <f t="shared" si="20"/>
        <v>1.002112708333333</v>
      </c>
    </row>
    <row r="88" spans="18:25" x14ac:dyDescent="0.3">
      <c r="R88">
        <v>68</v>
      </c>
      <c r="S88" s="8">
        <f t="shared" si="15"/>
        <v>30.053120000000007</v>
      </c>
      <c r="T88" s="8">
        <f t="shared" si="16"/>
        <v>17.110599999999998</v>
      </c>
      <c r="U88" s="9">
        <f t="shared" si="17"/>
        <v>6.6699999999999982</v>
      </c>
      <c r="V88" s="9">
        <f t="shared" si="18"/>
        <v>5.8845200000000091</v>
      </c>
      <c r="W88" s="9">
        <f t="shared" si="19"/>
        <v>0.38799999999999996</v>
      </c>
      <c r="X88" t="b">
        <v>1</v>
      </c>
      <c r="Y88" s="8">
        <f t="shared" si="20"/>
        <v>1.0017706666666668</v>
      </c>
    </row>
    <row r="89" spans="18:25" x14ac:dyDescent="0.3">
      <c r="R89">
        <v>68.5</v>
      </c>
      <c r="S89" s="8">
        <f t="shared" si="15"/>
        <v>30.040678750000001</v>
      </c>
      <c r="T89" s="8">
        <f t="shared" si="16"/>
        <v>17.289050000000003</v>
      </c>
      <c r="U89" s="9">
        <f t="shared" si="17"/>
        <v>6.5422249999999984</v>
      </c>
      <c r="V89" s="9">
        <f t="shared" si="18"/>
        <v>5.8239037499999995</v>
      </c>
      <c r="W89" s="9">
        <f t="shared" si="19"/>
        <v>0.38549999999999995</v>
      </c>
      <c r="X89" t="b">
        <v>1</v>
      </c>
      <c r="Y89" s="8">
        <f t="shared" si="20"/>
        <v>1.0013559583333334</v>
      </c>
    </row>
    <row r="90" spans="18:25" x14ac:dyDescent="0.3">
      <c r="R90">
        <v>69</v>
      </c>
      <c r="S90" s="8">
        <f t="shared" si="15"/>
        <v>30.025989999999993</v>
      </c>
      <c r="T90" s="8">
        <f t="shared" si="16"/>
        <v>17.467099999999995</v>
      </c>
      <c r="U90" s="9">
        <f t="shared" si="17"/>
        <v>6.4123999999999945</v>
      </c>
      <c r="V90" s="9">
        <f t="shared" si="18"/>
        <v>5.7634900000000044</v>
      </c>
      <c r="W90" s="9">
        <f t="shared" si="19"/>
        <v>0.38299999999999995</v>
      </c>
      <c r="X90" t="b">
        <v>1</v>
      </c>
      <c r="Y90" s="8">
        <f t="shared" si="20"/>
        <v>1.0008663333333332</v>
      </c>
    </row>
    <row r="91" spans="18:25" x14ac:dyDescent="0.3">
      <c r="R91">
        <v>69.5</v>
      </c>
      <c r="S91" s="8">
        <f t="shared" si="15"/>
        <v>30.008986250000003</v>
      </c>
      <c r="T91" s="8">
        <f t="shared" si="16"/>
        <v>17.644750000000002</v>
      </c>
      <c r="U91" s="9">
        <f t="shared" si="17"/>
        <v>6.2805249999999972</v>
      </c>
      <c r="V91" s="9">
        <f t="shared" si="18"/>
        <v>5.7032112500000025</v>
      </c>
      <c r="W91" s="9">
        <f t="shared" si="19"/>
        <v>0.38049999999999995</v>
      </c>
      <c r="X91" t="b">
        <v>1</v>
      </c>
      <c r="Y91" s="8">
        <f t="shared" si="20"/>
        <v>1.0002995416666667</v>
      </c>
    </row>
    <row r="92" spans="18:25" x14ac:dyDescent="0.3">
      <c r="R92">
        <v>70</v>
      </c>
      <c r="S92" s="8">
        <f t="shared" si="15"/>
        <v>29.989599999999999</v>
      </c>
      <c r="T92" s="8">
        <f t="shared" si="16"/>
        <v>17.822000000000003</v>
      </c>
      <c r="U92" s="9">
        <f t="shared" si="17"/>
        <v>6.1465999999999958</v>
      </c>
      <c r="V92" s="9">
        <f t="shared" si="18"/>
        <v>5.6430000000000007</v>
      </c>
      <c r="W92" s="9">
        <f t="shared" si="19"/>
        <v>0.37799999999999995</v>
      </c>
      <c r="X92" t="b">
        <v>1</v>
      </c>
      <c r="Y92" s="8">
        <f t="shared" si="20"/>
        <v>0.99965333333333328</v>
      </c>
    </row>
    <row r="93" spans="18:25" x14ac:dyDescent="0.3">
      <c r="R93">
        <v>70.5</v>
      </c>
      <c r="S93" s="8">
        <f t="shared" si="15"/>
        <v>29.967763750000007</v>
      </c>
      <c r="T93" s="8">
        <f t="shared" si="16"/>
        <v>17.998850000000004</v>
      </c>
      <c r="U93" s="9">
        <f t="shared" si="17"/>
        <v>6.0106249999999974</v>
      </c>
      <c r="V93" s="9">
        <f t="shared" si="18"/>
        <v>5.582788750000006</v>
      </c>
      <c r="W93" s="9">
        <f t="shared" si="19"/>
        <v>0.3755</v>
      </c>
      <c r="X93" t="b">
        <v>1</v>
      </c>
      <c r="Y93" s="8">
        <f t="shared" si="20"/>
        <v>0.99892545833333357</v>
      </c>
    </row>
    <row r="94" spans="18:25" x14ac:dyDescent="0.3">
      <c r="R94">
        <v>71</v>
      </c>
      <c r="S94" s="8">
        <f t="shared" si="15"/>
        <v>29.943409999999993</v>
      </c>
      <c r="T94" s="8">
        <f t="shared" si="16"/>
        <v>18.1753</v>
      </c>
      <c r="U94" s="9">
        <f t="shared" si="17"/>
        <v>5.8725999999999949</v>
      </c>
      <c r="V94" s="9">
        <f t="shared" si="18"/>
        <v>5.5225099999999969</v>
      </c>
      <c r="W94" s="9">
        <f t="shared" si="19"/>
        <v>0.373</v>
      </c>
      <c r="X94" t="b">
        <v>1</v>
      </c>
      <c r="Y94" s="8">
        <f t="shared" si="20"/>
        <v>0.99811366666666645</v>
      </c>
    </row>
    <row r="95" spans="18:25" x14ac:dyDescent="0.3">
      <c r="R95">
        <v>71.5</v>
      </c>
      <c r="S95" s="8">
        <f t="shared" si="15"/>
        <v>29.916471249999997</v>
      </c>
      <c r="T95" s="8">
        <f t="shared" si="16"/>
        <v>18.351349999999996</v>
      </c>
      <c r="U95" s="9">
        <f t="shared" si="17"/>
        <v>5.732524999999999</v>
      </c>
      <c r="V95" s="9">
        <f t="shared" si="18"/>
        <v>5.4620962500000019</v>
      </c>
      <c r="W95" s="9">
        <f t="shared" si="19"/>
        <v>0.3705</v>
      </c>
      <c r="X95" t="b">
        <v>1</v>
      </c>
      <c r="Y95" s="8">
        <f t="shared" si="20"/>
        <v>0.99721570833333328</v>
      </c>
    </row>
    <row r="96" spans="18:25" x14ac:dyDescent="0.3">
      <c r="R96">
        <v>72</v>
      </c>
      <c r="S96" s="8">
        <f t="shared" si="15"/>
        <v>29.886879999999998</v>
      </c>
      <c r="T96" s="8">
        <f t="shared" si="16"/>
        <v>18.527000000000008</v>
      </c>
      <c r="U96" s="9">
        <f t="shared" si="17"/>
        <v>5.5903999999999989</v>
      </c>
      <c r="V96" s="9">
        <f t="shared" si="18"/>
        <v>5.4014799999999923</v>
      </c>
      <c r="W96" s="9">
        <f t="shared" si="19"/>
        <v>0.36799999999999999</v>
      </c>
      <c r="X96" t="b">
        <v>1</v>
      </c>
      <c r="Y96" s="8">
        <f t="shared" si="20"/>
        <v>0.9962293333333333</v>
      </c>
    </row>
    <row r="97" spans="18:25" x14ac:dyDescent="0.3">
      <c r="R97">
        <v>72.5</v>
      </c>
      <c r="S97" s="8">
        <f t="shared" ref="S97:S114" si="21">SUM(T97:W97)</f>
        <v>29.854568750000002</v>
      </c>
      <c r="T97" s="8">
        <f t="shared" ref="T97:T114" si="22" xml:space="preserve"> -0.0008 * R97^2 + 0.4661 * R97 - 10.885</f>
        <v>18.702250000000006</v>
      </c>
      <c r="U97" s="9">
        <f t="shared" ref="U97:U114" si="23" xml:space="preserve"> -0.0041 * R97^2 + 0.3041 * R97 + 4.9496</f>
        <v>5.4462249999999983</v>
      </c>
      <c r="V97" s="9">
        <f t="shared" ref="V97:V114" si="24" xml:space="preserve"> -0.00009 * R97^3 + 0.0189 * R97^2 - 1.4434 * R97 + 44.941</f>
        <v>5.3405937499999965</v>
      </c>
      <c r="W97" s="9">
        <f t="shared" ref="W97:W114" si="25" xml:space="preserve"> -0.005 * R97 + 0.728</f>
        <v>0.36549999999999999</v>
      </c>
      <c r="X97" t="b">
        <v>1</v>
      </c>
      <c r="Y97" s="8">
        <f t="shared" ref="Y97:Y114" si="26">S97/$R$2</f>
        <v>0.99515229166666674</v>
      </c>
    </row>
    <row r="98" spans="18:25" x14ac:dyDescent="0.3">
      <c r="R98">
        <v>73</v>
      </c>
      <c r="S98" s="8">
        <f t="shared" si="21"/>
        <v>29.819469999999995</v>
      </c>
      <c r="T98" s="8">
        <f t="shared" si="22"/>
        <v>18.877099999999999</v>
      </c>
      <c r="U98" s="9">
        <f t="shared" si="23"/>
        <v>5.2999999999999972</v>
      </c>
      <c r="V98" s="9">
        <f t="shared" si="24"/>
        <v>5.2793700000000001</v>
      </c>
      <c r="W98" s="9">
        <f t="shared" si="25"/>
        <v>0.36299999999999999</v>
      </c>
      <c r="X98" t="b">
        <v>1</v>
      </c>
      <c r="Y98" s="8">
        <f t="shared" si="26"/>
        <v>0.99398233333333319</v>
      </c>
    </row>
    <row r="99" spans="18:25" x14ac:dyDescent="0.3">
      <c r="R99">
        <v>73.5</v>
      </c>
      <c r="S99" s="8">
        <f t="shared" si="21"/>
        <v>29.781516249999999</v>
      </c>
      <c r="T99" s="8">
        <f t="shared" si="22"/>
        <v>19.051549999999999</v>
      </c>
      <c r="U99" s="9">
        <f t="shared" si="23"/>
        <v>5.151724999999999</v>
      </c>
      <c r="V99" s="9">
        <f t="shared" si="24"/>
        <v>5.2177412500000031</v>
      </c>
      <c r="W99" s="9">
        <f t="shared" si="25"/>
        <v>0.36049999999999999</v>
      </c>
      <c r="X99" t="b">
        <v>1</v>
      </c>
      <c r="Y99" s="8">
        <f t="shared" si="26"/>
        <v>0.99271720833333332</v>
      </c>
    </row>
    <row r="100" spans="18:25" x14ac:dyDescent="0.3">
      <c r="R100">
        <v>74</v>
      </c>
      <c r="S100" s="8">
        <f t="shared" si="21"/>
        <v>29.740640000000003</v>
      </c>
      <c r="T100" s="8">
        <f t="shared" si="22"/>
        <v>19.2256</v>
      </c>
      <c r="U100" s="9">
        <f t="shared" si="23"/>
        <v>5.0013999999999967</v>
      </c>
      <c r="V100" s="9">
        <f t="shared" si="24"/>
        <v>5.1556400000000053</v>
      </c>
      <c r="W100" s="9">
        <f t="shared" si="25"/>
        <v>0.35799999999999998</v>
      </c>
      <c r="X100" t="b">
        <v>1</v>
      </c>
      <c r="Y100" s="8">
        <f t="shared" si="26"/>
        <v>0.99135466666666672</v>
      </c>
    </row>
    <row r="101" spans="18:25" x14ac:dyDescent="0.3">
      <c r="R101">
        <v>74.5</v>
      </c>
      <c r="S101" s="8">
        <f t="shared" si="21"/>
        <v>29.696773750000006</v>
      </c>
      <c r="T101" s="8">
        <f t="shared" si="22"/>
        <v>19.399250000000002</v>
      </c>
      <c r="U101" s="9">
        <f t="shared" si="23"/>
        <v>4.8490249999999975</v>
      </c>
      <c r="V101" s="9">
        <f t="shared" si="24"/>
        <v>5.0929987500000067</v>
      </c>
      <c r="W101" s="9">
        <f t="shared" si="25"/>
        <v>0.35549999999999998</v>
      </c>
      <c r="X101" t="b">
        <v>1</v>
      </c>
      <c r="Y101" s="8">
        <f t="shared" si="26"/>
        <v>0.9898924583333335</v>
      </c>
    </row>
    <row r="102" spans="18:25" x14ac:dyDescent="0.3">
      <c r="R102">
        <v>75</v>
      </c>
      <c r="S102" s="8">
        <f t="shared" si="21"/>
        <v>29.649850000000008</v>
      </c>
      <c r="T102" s="8">
        <f t="shared" si="22"/>
        <v>19.572500000000005</v>
      </c>
      <c r="U102" s="9">
        <f t="shared" si="23"/>
        <v>4.6945999999999941</v>
      </c>
      <c r="V102" s="9">
        <f t="shared" si="24"/>
        <v>5.029750000000007</v>
      </c>
      <c r="W102" s="9">
        <f t="shared" si="25"/>
        <v>0.35299999999999998</v>
      </c>
      <c r="X102" t="b">
        <v>1</v>
      </c>
      <c r="Y102" s="8">
        <f t="shared" si="26"/>
        <v>0.98832833333333359</v>
      </c>
    </row>
    <row r="103" spans="18:25" x14ac:dyDescent="0.3">
      <c r="R103">
        <v>75.5</v>
      </c>
      <c r="S103" s="8">
        <f t="shared" si="21"/>
        <v>29.599801249999992</v>
      </c>
      <c r="T103" s="8">
        <f t="shared" si="22"/>
        <v>19.745350000000002</v>
      </c>
      <c r="U103" s="9">
        <f t="shared" si="23"/>
        <v>4.5381249999999973</v>
      </c>
      <c r="V103" s="9">
        <f t="shared" si="24"/>
        <v>4.9658262499999921</v>
      </c>
      <c r="W103" s="9">
        <f t="shared" si="25"/>
        <v>0.35049999999999998</v>
      </c>
      <c r="X103" t="b">
        <v>1</v>
      </c>
      <c r="Y103" s="8">
        <f t="shared" si="26"/>
        <v>0.98666004166666643</v>
      </c>
    </row>
    <row r="104" spans="18:25" x14ac:dyDescent="0.3">
      <c r="R104">
        <v>76</v>
      </c>
      <c r="S104" s="8">
        <f t="shared" si="21"/>
        <v>29.546559999999985</v>
      </c>
      <c r="T104" s="8">
        <f t="shared" si="22"/>
        <v>19.9178</v>
      </c>
      <c r="U104" s="9">
        <f t="shared" si="23"/>
        <v>4.3795999999999964</v>
      </c>
      <c r="V104" s="9">
        <f t="shared" si="24"/>
        <v>4.9011599999999902</v>
      </c>
      <c r="W104" s="9">
        <f t="shared" si="25"/>
        <v>0.34799999999999998</v>
      </c>
      <c r="X104" t="b">
        <v>1</v>
      </c>
      <c r="Y104" s="8">
        <f t="shared" si="26"/>
        <v>0.98488533333333284</v>
      </c>
    </row>
    <row r="105" spans="18:25" x14ac:dyDescent="0.3">
      <c r="R105">
        <v>76.5</v>
      </c>
      <c r="S105" s="8">
        <f t="shared" si="21"/>
        <v>29.490058749999982</v>
      </c>
      <c r="T105" s="8">
        <f t="shared" si="22"/>
        <v>20.089849999999998</v>
      </c>
      <c r="U105" s="9">
        <f t="shared" si="23"/>
        <v>4.2190249999999949</v>
      </c>
      <c r="V105" s="9">
        <f t="shared" si="24"/>
        <v>4.835683749999987</v>
      </c>
      <c r="W105" s="9">
        <f t="shared" si="25"/>
        <v>0.34549999999999997</v>
      </c>
      <c r="X105" t="b">
        <v>1</v>
      </c>
      <c r="Y105" s="8">
        <f t="shared" si="26"/>
        <v>0.9830019583333327</v>
      </c>
    </row>
    <row r="106" spans="18:25" x14ac:dyDescent="0.3">
      <c r="R106">
        <v>77</v>
      </c>
      <c r="S106" s="8">
        <f t="shared" si="21"/>
        <v>29.430229999999977</v>
      </c>
      <c r="T106" s="8">
        <f t="shared" si="22"/>
        <v>20.261499999999998</v>
      </c>
      <c r="U106" s="9">
        <f t="shared" si="23"/>
        <v>4.0563999999999965</v>
      </c>
      <c r="V106" s="9">
        <f t="shared" si="24"/>
        <v>4.7693299999999823</v>
      </c>
      <c r="W106" s="9">
        <f t="shared" si="25"/>
        <v>0.34299999999999997</v>
      </c>
      <c r="X106" t="b">
        <v>1</v>
      </c>
      <c r="Y106" s="8">
        <f t="shared" si="26"/>
        <v>0.98100766666666595</v>
      </c>
    </row>
    <row r="107" spans="18:25" x14ac:dyDescent="0.3">
      <c r="R107">
        <v>77.5</v>
      </c>
      <c r="S107" s="8">
        <f t="shared" si="21"/>
        <v>29.367006249999992</v>
      </c>
      <c r="T107" s="8">
        <f t="shared" si="22"/>
        <v>20.432750000000006</v>
      </c>
      <c r="U107" s="9">
        <f t="shared" si="23"/>
        <v>3.8917249999999974</v>
      </c>
      <c r="V107" s="9">
        <f t="shared" si="24"/>
        <v>4.7020312499999903</v>
      </c>
      <c r="W107" s="9">
        <f t="shared" si="25"/>
        <v>0.34049999999999997</v>
      </c>
      <c r="X107" t="b">
        <v>1</v>
      </c>
      <c r="Y107" s="8">
        <f t="shared" si="26"/>
        <v>0.97890020833333302</v>
      </c>
    </row>
    <row r="108" spans="18:25" x14ac:dyDescent="0.3">
      <c r="R108">
        <v>78</v>
      </c>
      <c r="S108" s="8">
        <f t="shared" si="21"/>
        <v>29.300319999999996</v>
      </c>
      <c r="T108" s="8">
        <f t="shared" si="22"/>
        <v>20.6036</v>
      </c>
      <c r="U108" s="9">
        <f t="shared" si="23"/>
        <v>3.7249999999999979</v>
      </c>
      <c r="V108" s="9">
        <f t="shared" si="24"/>
        <v>4.6337199999999967</v>
      </c>
      <c r="W108" s="9">
        <f t="shared" si="25"/>
        <v>0.33799999999999997</v>
      </c>
      <c r="X108" t="b">
        <v>1</v>
      </c>
      <c r="Y108" s="8">
        <f t="shared" si="26"/>
        <v>0.97667733333333318</v>
      </c>
    </row>
    <row r="109" spans="18:25" x14ac:dyDescent="0.3">
      <c r="R109">
        <v>78.5</v>
      </c>
      <c r="S109" s="8">
        <f t="shared" si="21"/>
        <v>29.230103750000001</v>
      </c>
      <c r="T109" s="8">
        <f t="shared" si="22"/>
        <v>20.774050000000003</v>
      </c>
      <c r="U109" s="9">
        <f t="shared" si="23"/>
        <v>3.5562249999999977</v>
      </c>
      <c r="V109" s="9">
        <f t="shared" si="24"/>
        <v>4.5643287500000014</v>
      </c>
      <c r="W109" s="9">
        <f t="shared" si="25"/>
        <v>0.33549999999999996</v>
      </c>
      <c r="X109" t="b">
        <v>1</v>
      </c>
      <c r="Y109" s="8">
        <f t="shared" si="26"/>
        <v>0.97433679166666676</v>
      </c>
    </row>
    <row r="110" spans="18:25" x14ac:dyDescent="0.3">
      <c r="R110">
        <v>79</v>
      </c>
      <c r="S110" s="8">
        <f t="shared" si="21"/>
        <v>29.156289999999998</v>
      </c>
      <c r="T110" s="8">
        <f t="shared" si="22"/>
        <v>20.944099999999999</v>
      </c>
      <c r="U110" s="9">
        <f t="shared" si="23"/>
        <v>3.3853999999999971</v>
      </c>
      <c r="V110" s="9">
        <f t="shared" si="24"/>
        <v>4.4937900000000042</v>
      </c>
      <c r="W110" s="9">
        <f t="shared" si="25"/>
        <v>0.33299999999999996</v>
      </c>
      <c r="X110" t="b">
        <v>1</v>
      </c>
      <c r="Y110" s="8">
        <f t="shared" si="26"/>
        <v>0.97187633333333323</v>
      </c>
    </row>
    <row r="111" spans="18:25" x14ac:dyDescent="0.3">
      <c r="R111">
        <v>79.5</v>
      </c>
      <c r="S111" s="8">
        <f t="shared" si="21"/>
        <v>29.078811250000001</v>
      </c>
      <c r="T111" s="8">
        <f t="shared" si="22"/>
        <v>21.113749999999996</v>
      </c>
      <c r="U111" s="9">
        <f t="shared" si="23"/>
        <v>3.2125249999999994</v>
      </c>
      <c r="V111" s="9">
        <f t="shared" si="24"/>
        <v>4.422036250000005</v>
      </c>
      <c r="W111" s="9">
        <f t="shared" si="25"/>
        <v>0.33049999999999996</v>
      </c>
      <c r="X111" t="b">
        <v>1</v>
      </c>
      <c r="Y111" s="8">
        <f t="shared" si="26"/>
        <v>0.96929370833333339</v>
      </c>
    </row>
    <row r="112" spans="18:25" x14ac:dyDescent="0.3">
      <c r="R112">
        <v>80</v>
      </c>
      <c r="S112" s="8">
        <f t="shared" si="21"/>
        <v>28.997599999999995</v>
      </c>
      <c r="T112" s="8">
        <f t="shared" si="22"/>
        <v>21.283000000000008</v>
      </c>
      <c r="U112" s="9">
        <f t="shared" si="23"/>
        <v>3.0375999999999976</v>
      </c>
      <c r="V112" s="9">
        <f t="shared" si="24"/>
        <v>4.3489999999999895</v>
      </c>
      <c r="W112" s="9">
        <f t="shared" si="25"/>
        <v>0.32799999999999996</v>
      </c>
      <c r="X112" t="b">
        <v>1</v>
      </c>
      <c r="Y112" s="8">
        <f t="shared" si="26"/>
        <v>0.96658666666666648</v>
      </c>
    </row>
    <row r="113" spans="18:25" x14ac:dyDescent="0.3">
      <c r="R113">
        <v>80.5</v>
      </c>
      <c r="S113" s="8">
        <f t="shared" si="21"/>
        <v>28.912588749999983</v>
      </c>
      <c r="T113" s="8">
        <f t="shared" si="22"/>
        <v>21.45185</v>
      </c>
      <c r="U113" s="9">
        <f t="shared" si="23"/>
        <v>2.8606249999999953</v>
      </c>
      <c r="V113" s="9">
        <f t="shared" si="24"/>
        <v>4.2746137499999861</v>
      </c>
      <c r="W113" s="9">
        <f t="shared" si="25"/>
        <v>0.32549999999999996</v>
      </c>
      <c r="X113" t="b">
        <v>1</v>
      </c>
      <c r="Y113" s="8">
        <f t="shared" si="26"/>
        <v>0.96375295833333274</v>
      </c>
    </row>
    <row r="114" spans="18:25" x14ac:dyDescent="0.3">
      <c r="R114">
        <v>81</v>
      </c>
      <c r="S114" s="8">
        <f t="shared" si="21"/>
        <v>28.823709999999977</v>
      </c>
      <c r="T114" s="8">
        <f t="shared" si="22"/>
        <v>21.6203</v>
      </c>
      <c r="U114" s="9">
        <f t="shared" si="23"/>
        <v>2.681599999999996</v>
      </c>
      <c r="V114" s="9">
        <f t="shared" si="24"/>
        <v>4.1988099999999804</v>
      </c>
      <c r="W114" s="9">
        <f t="shared" si="25"/>
        <v>0.32299999999999995</v>
      </c>
      <c r="X114" t="b">
        <v>1</v>
      </c>
      <c r="Y114" s="8">
        <f t="shared" si="26"/>
        <v>0.96079033333333252</v>
      </c>
    </row>
  </sheetData>
  <conditionalFormatting sqref="S4:S114">
    <cfRule type="colorScale" priority="2">
      <colorScale>
        <cfvo type="num" val="27"/>
        <cfvo type="num" val="30"/>
        <cfvo type="num" val="33"/>
        <color rgb="FFF8696B"/>
        <color rgb="FF92D050"/>
        <color rgb="FF00B0F0"/>
      </colorScale>
    </cfRule>
  </conditionalFormatting>
  <conditionalFormatting sqref="T4:W114">
    <cfRule type="colorScale" priority="3">
      <colorScale>
        <cfvo type="min"/>
        <cfvo type="max"/>
        <color rgb="FFFCFCFF"/>
        <color rgb="FF63BE7B"/>
      </colorScale>
    </cfRule>
  </conditionalFormatting>
  <conditionalFormatting sqref="Y4:Y114">
    <cfRule type="colorScale" priority="4">
      <colorScale>
        <cfvo type="num" val="0.9"/>
        <cfvo type="num" val="1"/>
        <cfvo type="num" val="1.1000000000000001"/>
        <color rgb="FFF8696B"/>
        <color rgb="FF92D050"/>
        <color rgb="FF00B0F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2775-2026-4902-93E1-85289FCBA115}">
  <dimension ref="A1:Y25"/>
  <sheetViews>
    <sheetView workbookViewId="0">
      <selection activeCell="S14" sqref="S14"/>
    </sheetView>
  </sheetViews>
  <sheetFormatPr defaultRowHeight="15.6" x14ac:dyDescent="0.3"/>
  <cols>
    <col min="1" max="1" width="8.59765625" customWidth="1"/>
    <col min="2" max="2" width="14.09765625" customWidth="1"/>
    <col min="4" max="4" width="9.59765625" customWidth="1"/>
    <col min="5" max="5" width="9.19921875" customWidth="1"/>
    <col min="7" max="7" width="15.69921875" customWidth="1"/>
  </cols>
  <sheetData>
    <row r="1" spans="1:25" x14ac:dyDescent="0.3">
      <c r="A1" t="s">
        <v>64</v>
      </c>
      <c r="B1" t="s">
        <v>72</v>
      </c>
      <c r="C1" t="s">
        <v>65</v>
      </c>
      <c r="D1" t="s">
        <v>75</v>
      </c>
      <c r="R1" t="s">
        <v>67</v>
      </c>
    </row>
    <row r="2" spans="1:25" x14ac:dyDescent="0.3">
      <c r="A2" t="s">
        <v>90</v>
      </c>
      <c r="B2" t="s">
        <v>88</v>
      </c>
      <c r="C2" t="s">
        <v>89</v>
      </c>
      <c r="D2" t="b">
        <v>0</v>
      </c>
      <c r="R2">
        <v>30</v>
      </c>
    </row>
    <row r="3" spans="1:25" x14ac:dyDescent="0.3">
      <c r="A3" t="s">
        <v>66</v>
      </c>
      <c r="B3" t="s">
        <v>67</v>
      </c>
      <c r="C3" t="s">
        <v>68</v>
      </c>
      <c r="D3" t="s">
        <v>70</v>
      </c>
      <c r="E3" t="s">
        <v>71</v>
      </c>
      <c r="F3" t="s">
        <v>69</v>
      </c>
      <c r="G3" t="s">
        <v>76</v>
      </c>
      <c r="R3" t="s">
        <v>77</v>
      </c>
      <c r="S3" t="s">
        <v>84</v>
      </c>
      <c r="T3" t="s">
        <v>68</v>
      </c>
      <c r="U3" t="s">
        <v>70</v>
      </c>
      <c r="V3" t="s">
        <v>71</v>
      </c>
      <c r="W3" t="s">
        <v>69</v>
      </c>
      <c r="X3" t="s">
        <v>76</v>
      </c>
      <c r="Y3" t="s">
        <v>85</v>
      </c>
    </row>
    <row r="4" spans="1:25" x14ac:dyDescent="0.3">
      <c r="A4">
        <v>4</v>
      </c>
      <c r="B4">
        <v>30</v>
      </c>
      <c r="C4">
        <v>0.42499999999999999</v>
      </c>
      <c r="D4">
        <v>12.08</v>
      </c>
      <c r="E4">
        <v>15.73</v>
      </c>
      <c r="F4">
        <v>1.41</v>
      </c>
      <c r="G4" s="8" t="b">
        <v>0</v>
      </c>
      <c r="R4">
        <v>4.25</v>
      </c>
      <c r="S4" s="8">
        <f t="shared" ref="S4:S11" si="0">SUM(T4:W4)</f>
        <v>29.940896874999421</v>
      </c>
      <c r="T4" s="8">
        <f xml:space="preserve"> 0.1436 * R4^5 - 4.4738 * R4^4 + 54.332 * R4^3 - 320.56 * R4^2 + 922.05 * R4 - 1037.9</f>
        <v>1.0454707031244652</v>
      </c>
      <c r="U4" s="9">
        <f xml:space="preserve"> 0.0846 * R4^4 - 1.208 * R4^3 + 1.6538 * R4^2 + 32.379 * R4 - 88.252</f>
        <v>14.098717968750009</v>
      </c>
      <c r="V4" s="9">
        <f xml:space="preserve"> 0.0749 * R4^4 - 1.9902 * R4^3 + 20.211 * R4^2 - 94.545 * R4 + 178.58</f>
        <v>13.482408203124947</v>
      </c>
      <c r="W4" s="9">
        <f xml:space="preserve"> -0.232 * R4 + 2.3003</f>
        <v>1.3142999999999998</v>
      </c>
      <c r="X4" t="b">
        <v>1</v>
      </c>
      <c r="Y4" s="8">
        <f>S4/$R$2</f>
        <v>0.99802989583331403</v>
      </c>
    </row>
    <row r="5" spans="1:25" x14ac:dyDescent="0.3">
      <c r="A5">
        <v>4.5</v>
      </c>
      <c r="B5">
        <v>30</v>
      </c>
      <c r="C5">
        <v>1.48</v>
      </c>
      <c r="D5">
        <v>15.54</v>
      </c>
      <c r="E5">
        <v>11.24</v>
      </c>
      <c r="F5">
        <v>1.39</v>
      </c>
      <c r="G5" s="8" t="b">
        <v>0</v>
      </c>
      <c r="R5">
        <v>4.75</v>
      </c>
      <c r="S5" s="8">
        <f t="shared" si="0"/>
        <v>29.839071093750231</v>
      </c>
      <c r="T5" s="8">
        <f t="shared" ref="T5:T11" si="1" xml:space="preserve"> 0.1436 * R5^5 - 4.4738 * R5^4 + 54.332 * R5^3 - 320.56 * R5^2 + 922.05 * R5 - 1037.9</f>
        <v>1.8377199218753049</v>
      </c>
      <c r="U5" s="9">
        <f t="shared" ref="U5:U11" si="2" xml:space="preserve"> 0.0846 * R5^4 - 1.208 * R5^3 + 1.6538 * R5^2 + 32.379 * R5 - 88.252</f>
        <v>16.465505468749967</v>
      </c>
      <c r="V5" s="9">
        <f t="shared" ref="V5:V11" si="3" xml:space="preserve"> 0.0749 * R5^4 - 1.9902 * R5^3 + 20.211 * R5^2 - 94.545 * R5 + 178.58</f>
        <v>10.33754570312496</v>
      </c>
      <c r="W5" s="9">
        <f t="shared" ref="W5:W11" si="4" xml:space="preserve"> -0.232 * R5 + 2.3003</f>
        <v>1.1982999999999999</v>
      </c>
      <c r="X5" t="b">
        <v>1</v>
      </c>
      <c r="Y5" s="8">
        <f t="shared" ref="Y5:Y11" si="5">S5/$R$2</f>
        <v>0.99463570312500771</v>
      </c>
    </row>
    <row r="6" spans="1:25" x14ac:dyDescent="0.3">
      <c r="A6">
        <v>5</v>
      </c>
      <c r="B6">
        <v>30</v>
      </c>
      <c r="C6">
        <v>2.56</v>
      </c>
      <c r="D6">
        <v>16.73</v>
      </c>
      <c r="E6">
        <v>9.57</v>
      </c>
      <c r="F6">
        <v>0.84</v>
      </c>
      <c r="G6" s="8" t="b">
        <v>0</v>
      </c>
      <c r="R6">
        <v>5.25</v>
      </c>
      <c r="S6" s="8">
        <f t="shared" si="0"/>
        <v>29.530220312500585</v>
      </c>
      <c r="T6" s="8">
        <f t="shared" si="1"/>
        <v>3.4616253906256134</v>
      </c>
      <c r="U6" s="9">
        <f t="shared" si="2"/>
        <v>16.789130468749974</v>
      </c>
      <c r="V6" s="9">
        <f t="shared" si="3"/>
        <v>8.1971644531249979</v>
      </c>
      <c r="W6" s="9">
        <f t="shared" si="4"/>
        <v>1.0823</v>
      </c>
      <c r="X6" t="b">
        <v>1</v>
      </c>
      <c r="Y6" s="8">
        <f t="shared" si="5"/>
        <v>0.98434067708335282</v>
      </c>
    </row>
    <row r="7" spans="1:25" x14ac:dyDescent="0.3">
      <c r="A7">
        <v>5.5</v>
      </c>
      <c r="B7">
        <v>30</v>
      </c>
      <c r="C7">
        <v>5.03</v>
      </c>
      <c r="D7">
        <v>16.39</v>
      </c>
      <c r="E7">
        <v>7.32</v>
      </c>
      <c r="F7">
        <v>1.0900000000000001</v>
      </c>
      <c r="G7" s="8" t="b">
        <v>0</v>
      </c>
      <c r="R7">
        <v>5.75</v>
      </c>
      <c r="S7" s="8">
        <f t="shared" si="0"/>
        <v>29.642507031250684</v>
      </c>
      <c r="T7" s="8">
        <f t="shared" si="1"/>
        <v>6.5514996093756963</v>
      </c>
      <c r="U7" s="9">
        <f t="shared" si="2"/>
        <v>15.432592968750029</v>
      </c>
      <c r="V7" s="9">
        <f t="shared" si="3"/>
        <v>6.6921144531249581</v>
      </c>
      <c r="W7" s="9">
        <f t="shared" si="4"/>
        <v>0.96629999999999994</v>
      </c>
      <c r="X7" t="b">
        <v>1</v>
      </c>
      <c r="Y7" s="8">
        <f t="shared" si="5"/>
        <v>0.98808356770835615</v>
      </c>
    </row>
    <row r="8" spans="1:25" x14ac:dyDescent="0.3">
      <c r="A8">
        <v>6</v>
      </c>
      <c r="B8">
        <v>30</v>
      </c>
      <c r="C8">
        <v>8.4700000000000006</v>
      </c>
      <c r="D8">
        <v>14.32</v>
      </c>
      <c r="E8">
        <v>6.35</v>
      </c>
      <c r="F8">
        <v>0.67500000000000004</v>
      </c>
      <c r="G8" s="8" t="b">
        <v>0</v>
      </c>
      <c r="R8">
        <v>6.25</v>
      </c>
      <c r="S8" s="8">
        <f t="shared" si="0"/>
        <v>29.986893749999791</v>
      </c>
      <c r="T8" s="8">
        <f t="shared" si="1"/>
        <v>10.685205078124909</v>
      </c>
      <c r="U8" s="9">
        <f t="shared" si="2"/>
        <v>12.885792968749982</v>
      </c>
      <c r="V8" s="9">
        <f t="shared" si="3"/>
        <v>5.5655957031248988</v>
      </c>
      <c r="W8" s="9">
        <f t="shared" si="4"/>
        <v>0.85029999999999983</v>
      </c>
      <c r="X8" t="b">
        <v>1</v>
      </c>
      <c r="Y8" s="8">
        <f t="shared" si="5"/>
        <v>0.999563124999993</v>
      </c>
    </row>
    <row r="9" spans="1:25" x14ac:dyDescent="0.3">
      <c r="A9">
        <v>6.5</v>
      </c>
      <c r="B9">
        <v>30</v>
      </c>
      <c r="C9">
        <v>12.93</v>
      </c>
      <c r="D9">
        <v>11.27</v>
      </c>
      <c r="E9">
        <v>4.5199999999999996</v>
      </c>
      <c r="F9">
        <v>1.1399999999999999</v>
      </c>
      <c r="G9" s="8" t="b">
        <v>0</v>
      </c>
      <c r="R9">
        <v>6.75</v>
      </c>
      <c r="S9" s="8">
        <f t="shared" si="0"/>
        <v>30.095642968751743</v>
      </c>
      <c r="T9" s="8">
        <f t="shared" si="1"/>
        <v>14.922654296876772</v>
      </c>
      <c r="U9" s="9">
        <f t="shared" si="2"/>
        <v>9.7655304687499864</v>
      </c>
      <c r="V9" s="9">
        <f t="shared" si="3"/>
        <v>4.6731582031249843</v>
      </c>
      <c r="W9" s="9">
        <f t="shared" si="4"/>
        <v>0.73429999999999995</v>
      </c>
      <c r="X9" t="b">
        <v>1</v>
      </c>
      <c r="Y9" s="8">
        <f t="shared" si="5"/>
        <v>1.0031880989583914</v>
      </c>
    </row>
    <row r="10" spans="1:25" x14ac:dyDescent="0.3">
      <c r="A10">
        <v>7</v>
      </c>
      <c r="B10">
        <v>30</v>
      </c>
      <c r="C10">
        <v>16.920000000000002</v>
      </c>
      <c r="D10">
        <v>7.9</v>
      </c>
      <c r="E10">
        <v>4.25</v>
      </c>
      <c r="F10">
        <v>0.84</v>
      </c>
      <c r="G10" s="8" t="b">
        <v>0</v>
      </c>
      <c r="R10">
        <v>7.25</v>
      </c>
      <c r="S10" s="8">
        <f t="shared" si="0"/>
        <v>29.760817187499821</v>
      </c>
      <c r="T10" s="8">
        <f t="shared" si="1"/>
        <v>18.344309765624985</v>
      </c>
      <c r="U10" s="9">
        <f t="shared" si="2"/>
        <v>6.8155054687499756</v>
      </c>
      <c r="V10" s="9">
        <f t="shared" si="3"/>
        <v>3.9827019531248595</v>
      </c>
      <c r="W10" s="9">
        <f t="shared" si="4"/>
        <v>0.61829999999999985</v>
      </c>
      <c r="X10" t="b">
        <v>1</v>
      </c>
      <c r="Y10" s="8">
        <f t="shared" si="5"/>
        <v>0.99202723958332739</v>
      </c>
    </row>
    <row r="11" spans="1:25" x14ac:dyDescent="0.3">
      <c r="A11">
        <v>7.5</v>
      </c>
      <c r="B11">
        <v>30</v>
      </c>
      <c r="C11">
        <v>19.52</v>
      </c>
      <c r="D11">
        <v>5.85</v>
      </c>
      <c r="E11">
        <v>3.96</v>
      </c>
      <c r="F11">
        <v>0.36</v>
      </c>
      <c r="G11" s="8" t="b">
        <v>0</v>
      </c>
      <c r="R11">
        <v>7.75</v>
      </c>
      <c r="S11" s="8">
        <f t="shared" si="0"/>
        <v>29.57277890625064</v>
      </c>
      <c r="T11" s="8">
        <f t="shared" si="1"/>
        <v>20.589683984375824</v>
      </c>
      <c r="U11" s="9">
        <f t="shared" si="2"/>
        <v>4.9063179687499741</v>
      </c>
      <c r="V11" s="9">
        <f t="shared" si="3"/>
        <v>3.5744769531248437</v>
      </c>
      <c r="W11" s="9">
        <f t="shared" si="4"/>
        <v>0.50229999999999997</v>
      </c>
      <c r="X11" t="b">
        <v>1</v>
      </c>
      <c r="Y11" s="8">
        <f t="shared" si="5"/>
        <v>0.9857592968750214</v>
      </c>
    </row>
    <row r="12" spans="1:25" x14ac:dyDescent="0.3">
      <c r="A12">
        <v>8</v>
      </c>
      <c r="B12">
        <v>30</v>
      </c>
      <c r="C12">
        <v>21.4</v>
      </c>
      <c r="D12">
        <v>4.46</v>
      </c>
      <c r="E12">
        <v>3.3</v>
      </c>
      <c r="F12">
        <v>0.43</v>
      </c>
      <c r="G12" s="8" t="b">
        <v>0</v>
      </c>
      <c r="S12" s="8"/>
      <c r="U12" s="11"/>
      <c r="V12" s="11"/>
      <c r="W12" s="11"/>
      <c r="Y12" s="8"/>
    </row>
    <row r="13" spans="1:25" x14ac:dyDescent="0.3">
      <c r="A13">
        <v>4.25</v>
      </c>
      <c r="B13" s="8">
        <f t="shared" ref="B13:B20" si="6">SUM(C13:F13)</f>
        <v>29.940896874999421</v>
      </c>
      <c r="C13" s="8">
        <f t="shared" ref="C13:C20" si="7" xml:space="preserve"> 0.1436 * A13^5 - 4.4738 * A13^4 + 54.332 * A13^3 - 320.56 * A13^2 + 922.05 * A13 - 1037.9</f>
        <v>1.0454707031244652</v>
      </c>
      <c r="D13" s="9">
        <f t="shared" ref="D13:D20" si="8" xml:space="preserve"> 0.0846 * A13^4 - 1.208 * A13^3 + 1.6538 * A13^2 + 32.379 * A13 - 88.252</f>
        <v>14.098717968750009</v>
      </c>
      <c r="E13" s="9">
        <f t="shared" ref="E13:E20" si="9" xml:space="preserve"> 0.0749 * A13^4 - 1.9902 * A13^3 + 20.211 * A13^2 - 94.545 * A13 + 178.58</f>
        <v>13.482408203124947</v>
      </c>
      <c r="F13" s="9">
        <f t="shared" ref="F13:F20" si="10" xml:space="preserve"> -0.232 * A13 + 2.3003</f>
        <v>1.3142999999999998</v>
      </c>
      <c r="G13" s="8" t="b">
        <v>1</v>
      </c>
      <c r="S13" s="8"/>
      <c r="U13" s="11"/>
      <c r="V13" s="11"/>
      <c r="W13" s="11"/>
      <c r="Y13" s="8"/>
    </row>
    <row r="14" spans="1:25" x14ac:dyDescent="0.3">
      <c r="A14">
        <v>4.75</v>
      </c>
      <c r="B14" s="8">
        <f t="shared" si="6"/>
        <v>29.839071093750231</v>
      </c>
      <c r="C14" s="8">
        <f t="shared" si="7"/>
        <v>1.8377199218753049</v>
      </c>
      <c r="D14" s="9">
        <f t="shared" si="8"/>
        <v>16.465505468749967</v>
      </c>
      <c r="E14" s="9">
        <f t="shared" si="9"/>
        <v>10.33754570312496</v>
      </c>
      <c r="F14" s="9">
        <f t="shared" si="10"/>
        <v>1.1982999999999999</v>
      </c>
      <c r="G14" s="8" t="b">
        <v>1</v>
      </c>
    </row>
    <row r="15" spans="1:25" x14ac:dyDescent="0.3">
      <c r="A15">
        <v>5.25</v>
      </c>
      <c r="B15" s="8">
        <f t="shared" si="6"/>
        <v>29.530220312500585</v>
      </c>
      <c r="C15" s="8">
        <f t="shared" si="7"/>
        <v>3.4616253906256134</v>
      </c>
      <c r="D15" s="9">
        <f t="shared" si="8"/>
        <v>16.789130468749974</v>
      </c>
      <c r="E15" s="9">
        <f t="shared" si="9"/>
        <v>8.1971644531249979</v>
      </c>
      <c r="F15" s="9">
        <f t="shared" si="10"/>
        <v>1.0823</v>
      </c>
      <c r="G15" s="8" t="b">
        <v>1</v>
      </c>
    </row>
    <row r="16" spans="1:25" x14ac:dyDescent="0.3">
      <c r="A16">
        <v>5.75</v>
      </c>
      <c r="B16" s="8">
        <f t="shared" si="6"/>
        <v>29.642507031250684</v>
      </c>
      <c r="C16" s="8">
        <f t="shared" si="7"/>
        <v>6.5514996093756963</v>
      </c>
      <c r="D16" s="9">
        <f t="shared" si="8"/>
        <v>15.432592968750029</v>
      </c>
      <c r="E16" s="9">
        <f t="shared" si="9"/>
        <v>6.6921144531249581</v>
      </c>
      <c r="F16" s="9">
        <f t="shared" si="10"/>
        <v>0.96629999999999994</v>
      </c>
      <c r="G16" s="8" t="b">
        <v>1</v>
      </c>
    </row>
    <row r="17" spans="1:7" x14ac:dyDescent="0.3">
      <c r="A17">
        <v>6.25</v>
      </c>
      <c r="B17" s="8">
        <f t="shared" si="6"/>
        <v>29.986893749999791</v>
      </c>
      <c r="C17" s="8">
        <f t="shared" si="7"/>
        <v>10.685205078124909</v>
      </c>
      <c r="D17" s="9">
        <f t="shared" si="8"/>
        <v>12.885792968749982</v>
      </c>
      <c r="E17" s="9">
        <f t="shared" si="9"/>
        <v>5.5655957031248988</v>
      </c>
      <c r="F17" s="9">
        <f t="shared" si="10"/>
        <v>0.85029999999999983</v>
      </c>
      <c r="G17" s="8" t="b">
        <v>1</v>
      </c>
    </row>
    <row r="18" spans="1:7" x14ac:dyDescent="0.3">
      <c r="A18">
        <v>6.75</v>
      </c>
      <c r="B18" s="8">
        <f t="shared" si="6"/>
        <v>30.095642968751743</v>
      </c>
      <c r="C18" s="8">
        <f t="shared" si="7"/>
        <v>14.922654296876772</v>
      </c>
      <c r="D18" s="9">
        <f t="shared" si="8"/>
        <v>9.7655304687499864</v>
      </c>
      <c r="E18" s="9">
        <f t="shared" si="9"/>
        <v>4.6731582031249843</v>
      </c>
      <c r="F18" s="9">
        <f t="shared" si="10"/>
        <v>0.73429999999999995</v>
      </c>
      <c r="G18" s="8" t="b">
        <v>1</v>
      </c>
    </row>
    <row r="19" spans="1:7" x14ac:dyDescent="0.3">
      <c r="A19">
        <v>7.25</v>
      </c>
      <c r="B19" s="8">
        <f t="shared" si="6"/>
        <v>29.760817187499821</v>
      </c>
      <c r="C19" s="8">
        <f t="shared" si="7"/>
        <v>18.344309765624985</v>
      </c>
      <c r="D19" s="9">
        <f t="shared" si="8"/>
        <v>6.8155054687499756</v>
      </c>
      <c r="E19" s="9">
        <f t="shared" si="9"/>
        <v>3.9827019531248595</v>
      </c>
      <c r="F19" s="9">
        <f t="shared" si="10"/>
        <v>0.61829999999999985</v>
      </c>
      <c r="G19" s="8" t="b">
        <v>1</v>
      </c>
    </row>
    <row r="20" spans="1:7" x14ac:dyDescent="0.3">
      <c r="A20">
        <v>7.75</v>
      </c>
      <c r="B20" s="8">
        <f t="shared" si="6"/>
        <v>29.57277890625064</v>
      </c>
      <c r="C20" s="8">
        <f t="shared" si="7"/>
        <v>20.589683984375824</v>
      </c>
      <c r="D20" s="9">
        <f t="shared" si="8"/>
        <v>4.9063179687499741</v>
      </c>
      <c r="E20" s="9">
        <f t="shared" si="9"/>
        <v>3.5744769531248437</v>
      </c>
      <c r="F20" s="9">
        <f t="shared" si="10"/>
        <v>0.50229999999999997</v>
      </c>
      <c r="G20" s="8" t="b">
        <v>1</v>
      </c>
    </row>
    <row r="21" spans="1:7" x14ac:dyDescent="0.3">
      <c r="B21" s="8"/>
      <c r="C21" s="8"/>
      <c r="D21" s="8"/>
      <c r="E21" s="8"/>
      <c r="F21" s="8"/>
      <c r="G21" s="8"/>
    </row>
    <row r="22" spans="1:7" x14ac:dyDescent="0.3">
      <c r="B22" s="8"/>
      <c r="C22" s="8"/>
      <c r="D22" s="8"/>
      <c r="E22" s="8"/>
      <c r="F22" s="8"/>
      <c r="G22" s="8"/>
    </row>
    <row r="23" spans="1:7" x14ac:dyDescent="0.3">
      <c r="B23" s="8"/>
      <c r="C23" s="8"/>
      <c r="D23" s="8"/>
      <c r="E23" s="8"/>
      <c r="F23" s="8"/>
      <c r="G23" s="8"/>
    </row>
    <row r="24" spans="1:7" x14ac:dyDescent="0.3">
      <c r="B24" s="8"/>
      <c r="C24" s="8"/>
      <c r="D24" s="8"/>
      <c r="E24" s="8"/>
      <c r="F24" s="8"/>
      <c r="G24" s="8"/>
    </row>
    <row r="25" spans="1:7" x14ac:dyDescent="0.3">
      <c r="B25" s="8"/>
      <c r="C25" s="8"/>
      <c r="D25" s="8"/>
      <c r="E25" s="8"/>
      <c r="F25" s="8"/>
      <c r="G25" s="8"/>
    </row>
  </sheetData>
  <conditionalFormatting sqref="Y4:Y13">
    <cfRule type="colorScale" priority="1">
      <colorScale>
        <cfvo type="num" val="0"/>
        <cfvo type="num" val="1"/>
        <cfvo type="num" val="2"/>
        <color rgb="FFF8696B"/>
        <color rgb="FF92D050"/>
        <color rgb="FF00B0F0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6A429-97AF-46C2-B7D7-68B1C2F87629}">
  <dimension ref="A1:Y32"/>
  <sheetViews>
    <sheetView workbookViewId="0">
      <selection activeCell="J34" sqref="J34"/>
    </sheetView>
  </sheetViews>
  <sheetFormatPr defaultRowHeight="15.6" x14ac:dyDescent="0.3"/>
  <cols>
    <col min="1" max="1" width="8.59765625" customWidth="1"/>
    <col min="2" max="2" width="12.59765625" customWidth="1"/>
    <col min="4" max="4" width="9.59765625" customWidth="1"/>
    <col min="5" max="5" width="9.19921875" customWidth="1"/>
    <col min="7" max="7" width="15.69921875" customWidth="1"/>
  </cols>
  <sheetData>
    <row r="1" spans="1:25" x14ac:dyDescent="0.3">
      <c r="A1" t="s">
        <v>64</v>
      </c>
      <c r="B1" t="s">
        <v>72</v>
      </c>
      <c r="C1" t="s">
        <v>65</v>
      </c>
      <c r="D1" t="s">
        <v>75</v>
      </c>
      <c r="R1" t="s">
        <v>67</v>
      </c>
    </row>
    <row r="2" spans="1:25" x14ac:dyDescent="0.3">
      <c r="A2" t="s">
        <v>92</v>
      </c>
      <c r="B2" t="s">
        <v>88</v>
      </c>
      <c r="C2" t="s">
        <v>91</v>
      </c>
      <c r="D2" t="b">
        <v>0</v>
      </c>
      <c r="R2">
        <v>30</v>
      </c>
    </row>
    <row r="3" spans="1:25" x14ac:dyDescent="0.3">
      <c r="A3" t="s">
        <v>66</v>
      </c>
      <c r="B3" t="s">
        <v>67</v>
      </c>
      <c r="C3" t="s">
        <v>68</v>
      </c>
      <c r="D3" t="s">
        <v>70</v>
      </c>
      <c r="E3" t="s">
        <v>71</v>
      </c>
      <c r="F3" t="s">
        <v>69</v>
      </c>
      <c r="G3" t="s">
        <v>76</v>
      </c>
      <c r="R3" t="s">
        <v>77</v>
      </c>
      <c r="S3" t="s">
        <v>84</v>
      </c>
      <c r="T3" t="s">
        <v>68</v>
      </c>
      <c r="U3" t="s">
        <v>70</v>
      </c>
      <c r="V3" t="s">
        <v>71</v>
      </c>
      <c r="W3" t="s">
        <v>69</v>
      </c>
      <c r="X3" t="s">
        <v>76</v>
      </c>
      <c r="Y3" t="s">
        <v>85</v>
      </c>
    </row>
    <row r="4" spans="1:25" x14ac:dyDescent="0.3">
      <c r="A4">
        <v>4</v>
      </c>
      <c r="B4">
        <v>30</v>
      </c>
      <c r="C4">
        <v>0.24</v>
      </c>
      <c r="D4">
        <v>11.99</v>
      </c>
      <c r="E4">
        <v>15.36</v>
      </c>
      <c r="F4">
        <v>2.11</v>
      </c>
      <c r="G4" s="8" t="b">
        <v>0</v>
      </c>
      <c r="R4">
        <v>4.25</v>
      </c>
      <c r="S4" s="8">
        <f t="shared" ref="S4:S17" si="0">SUM(T4:W4)</f>
        <v>29.673656531406159</v>
      </c>
      <c r="T4" s="8">
        <f xml:space="preserve"> 0.0349 * R4^4 - 1.1672 * R4^3 + 13.85 * R4^2 - 65.01 * R4 + 104.53</f>
        <v>0.18854882812499341</v>
      </c>
      <c r="U4" s="9">
        <f xml:space="preserve"> -0.0489 * R4^4 + 1.658 * R4^3 - 20.29 * R4^2 + 103.47 * R4 - 170.92</f>
        <v>13.662965234375037</v>
      </c>
      <c r="V4" s="9">
        <f xml:space="preserve"> 0.0103 * R4^4 - 0.38 * R4^3 + 5.2203 * R4^2 - 32.465 * R4 + 83.544</f>
        <v>14.048896484374978</v>
      </c>
      <c r="W4" s="9">
        <f xml:space="preserve"> -1.086 * LN(R4) + 3.3446</f>
        <v>1.7732459845311503</v>
      </c>
      <c r="X4" t="b">
        <v>1</v>
      </c>
      <c r="Y4" s="8">
        <f>S4/$R$2</f>
        <v>0.98912188438020532</v>
      </c>
    </row>
    <row r="5" spans="1:25" x14ac:dyDescent="0.3">
      <c r="A5">
        <v>4.5</v>
      </c>
      <c r="B5">
        <v>30</v>
      </c>
      <c r="C5">
        <v>0.65</v>
      </c>
      <c r="D5">
        <v>14.47</v>
      </c>
      <c r="E5">
        <v>13.31</v>
      </c>
      <c r="F5">
        <v>1.4</v>
      </c>
      <c r="G5" s="8" t="b">
        <v>0</v>
      </c>
      <c r="R5">
        <v>4.75</v>
      </c>
      <c r="S5" s="8">
        <f t="shared" si="0"/>
        <v>29.754321741676407</v>
      </c>
      <c r="T5" s="8">
        <f t="shared" ref="T5:T17" si="1" xml:space="preserve"> 0.0349 * R5^4 - 1.1672 * R5^3 + 13.85 * R5^2 - 65.01 * R5 + 104.53</f>
        <v>0.89853007812493502</v>
      </c>
      <c r="U5" s="9">
        <f t="shared" ref="U5:U17" si="2" xml:space="preserve"> -0.0489 * R5^4 + 1.658 * R5^3 - 20.29 * R5^2 + 103.47 * R5 - 170.92</f>
        <v>15.566996484375039</v>
      </c>
      <c r="V5" s="9">
        <f t="shared" ref="V5:V17" si="3" xml:space="preserve"> 0.0103 * R5^4 - 0.38 * R5^3 + 5.2203 * R5^2 - 32.465 * R5 + 83.544</f>
        <v>11.636340234374984</v>
      </c>
      <c r="W5" s="9">
        <f t="shared" ref="W5:W17" si="4" xml:space="preserve"> -1.086 * LN(R5) + 3.3446</f>
        <v>1.6524549448014465</v>
      </c>
      <c r="X5" t="b">
        <v>1</v>
      </c>
      <c r="Y5" s="8">
        <f t="shared" ref="Y5:Y17" si="5">S5/$R$2</f>
        <v>0.99181072472254683</v>
      </c>
    </row>
    <row r="6" spans="1:25" x14ac:dyDescent="0.3">
      <c r="A6">
        <v>5</v>
      </c>
      <c r="B6">
        <v>30</v>
      </c>
      <c r="C6">
        <v>1.51</v>
      </c>
      <c r="D6">
        <v>16.329999999999998</v>
      </c>
      <c r="E6">
        <v>10.17</v>
      </c>
      <c r="F6">
        <v>1.7</v>
      </c>
      <c r="G6" s="8" t="b">
        <v>0</v>
      </c>
      <c r="R6">
        <v>5.25</v>
      </c>
      <c r="S6" s="8">
        <f t="shared" si="0"/>
        <v>29.775781105683492</v>
      </c>
      <c r="T6" s="8">
        <f t="shared" si="1"/>
        <v>2.5838675781249378</v>
      </c>
      <c r="U6" s="9">
        <f t="shared" si="2"/>
        <v>15.823246484375005</v>
      </c>
      <c r="V6" s="9">
        <f t="shared" si="3"/>
        <v>9.8249027343749873</v>
      </c>
      <c r="W6" s="9">
        <f t="shared" si="4"/>
        <v>1.5437643088085635</v>
      </c>
      <c r="X6" t="b">
        <v>1</v>
      </c>
      <c r="Y6" s="8">
        <f t="shared" si="5"/>
        <v>0.9925260368561164</v>
      </c>
    </row>
    <row r="7" spans="1:25" x14ac:dyDescent="0.3">
      <c r="A7">
        <v>5.5</v>
      </c>
      <c r="B7">
        <v>30</v>
      </c>
      <c r="C7">
        <v>3.61</v>
      </c>
      <c r="D7">
        <v>15.48</v>
      </c>
      <c r="E7">
        <v>9.25</v>
      </c>
      <c r="F7">
        <v>1.4</v>
      </c>
      <c r="G7" s="8" t="b">
        <v>0</v>
      </c>
      <c r="R7">
        <v>5.75</v>
      </c>
      <c r="S7" s="8">
        <f t="shared" si="0"/>
        <v>29.763429504552061</v>
      </c>
      <c r="T7" s="8">
        <f t="shared" si="1"/>
        <v>4.8926613281249445</v>
      </c>
      <c r="U7" s="9">
        <f t="shared" si="2"/>
        <v>14.941715234374982</v>
      </c>
      <c r="V7" s="9">
        <f t="shared" si="3"/>
        <v>8.4840839843749905</v>
      </c>
      <c r="W7" s="9">
        <f t="shared" si="4"/>
        <v>1.4449689576771443</v>
      </c>
      <c r="X7" t="b">
        <v>1</v>
      </c>
      <c r="Y7" s="8">
        <f t="shared" si="5"/>
        <v>0.99211431681840201</v>
      </c>
    </row>
    <row r="8" spans="1:25" x14ac:dyDescent="0.3">
      <c r="A8">
        <v>6</v>
      </c>
      <c r="B8">
        <v>30</v>
      </c>
      <c r="C8">
        <v>6.34</v>
      </c>
      <c r="D8">
        <v>14.17</v>
      </c>
      <c r="E8">
        <v>7.75</v>
      </c>
      <c r="F8">
        <v>1.51</v>
      </c>
      <c r="G8" s="8" t="b">
        <v>0</v>
      </c>
      <c r="R8">
        <v>6.25</v>
      </c>
      <c r="S8" s="8">
        <f t="shared" si="0"/>
        <v>29.73766457724426</v>
      </c>
      <c r="T8" s="8">
        <f t="shared" si="1"/>
        <v>7.5253613281249443</v>
      </c>
      <c r="U8" s="9">
        <f t="shared" si="2"/>
        <v>13.359052734375013</v>
      </c>
      <c r="V8" s="9">
        <f t="shared" si="3"/>
        <v>7.4988339843749685</v>
      </c>
      <c r="W8" s="9">
        <f t="shared" si="4"/>
        <v>1.3544165303693347</v>
      </c>
      <c r="X8" t="b">
        <v>1</v>
      </c>
      <c r="Y8" s="8">
        <f t="shared" si="5"/>
        <v>0.99125548590814205</v>
      </c>
    </row>
    <row r="9" spans="1:25" x14ac:dyDescent="0.3">
      <c r="A9">
        <v>6.5</v>
      </c>
      <c r="B9">
        <v>30</v>
      </c>
      <c r="C9">
        <v>8.82</v>
      </c>
      <c r="D9">
        <v>12.24</v>
      </c>
      <c r="E9">
        <v>7.19</v>
      </c>
      <c r="F9">
        <v>1.37</v>
      </c>
      <c r="G9" s="8" t="b">
        <v>0</v>
      </c>
      <c r="R9">
        <v>6.75</v>
      </c>
      <c r="S9" s="8">
        <f t="shared" si="0"/>
        <v>29.713716136570476</v>
      </c>
      <c r="T9" s="8">
        <f t="shared" si="1"/>
        <v>10.234767578124973</v>
      </c>
      <c r="U9" s="9">
        <f t="shared" si="2"/>
        <v>11.438558984375021</v>
      </c>
      <c r="V9" s="9">
        <f t="shared" si="3"/>
        <v>6.7695527343749831</v>
      </c>
      <c r="W9" s="9">
        <f t="shared" si="4"/>
        <v>1.2708368396954994</v>
      </c>
      <c r="X9" t="b">
        <v>1</v>
      </c>
      <c r="Y9" s="8">
        <f t="shared" si="5"/>
        <v>0.9904572045523492</v>
      </c>
    </row>
    <row r="10" spans="1:25" x14ac:dyDescent="0.3">
      <c r="A10">
        <v>7</v>
      </c>
      <c r="B10">
        <v>30</v>
      </c>
      <c r="C10">
        <v>11.7</v>
      </c>
      <c r="D10">
        <v>10.28</v>
      </c>
      <c r="E10">
        <v>6.77</v>
      </c>
      <c r="F10">
        <v>1.25</v>
      </c>
      <c r="G10" s="8" t="b">
        <v>0</v>
      </c>
      <c r="R10">
        <v>7.25</v>
      </c>
      <c r="S10" s="8">
        <f t="shared" si="0"/>
        <v>29.701536701685871</v>
      </c>
      <c r="T10" s="8">
        <f t="shared" si="1"/>
        <v>12.826030078124944</v>
      </c>
      <c r="U10" s="9">
        <f t="shared" si="2"/>
        <v>9.4701839843750975</v>
      </c>
      <c r="V10" s="9">
        <f t="shared" si="3"/>
        <v>6.2120902343749407</v>
      </c>
      <c r="W10" s="9">
        <f t="shared" si="4"/>
        <v>1.1932324048108902</v>
      </c>
      <c r="X10" t="b">
        <v>1</v>
      </c>
      <c r="Y10" s="8">
        <f t="shared" si="5"/>
        <v>0.990051223389529</v>
      </c>
    </row>
    <row r="11" spans="1:25" x14ac:dyDescent="0.3">
      <c r="A11">
        <v>7.5</v>
      </c>
      <c r="B11">
        <v>30</v>
      </c>
      <c r="C11">
        <v>14.04</v>
      </c>
      <c r="D11">
        <v>8.43</v>
      </c>
      <c r="E11">
        <v>5.83</v>
      </c>
      <c r="F11">
        <v>1.3</v>
      </c>
      <c r="G11" s="8" t="b">
        <v>0</v>
      </c>
      <c r="R11">
        <v>7.75</v>
      </c>
      <c r="S11" s="8">
        <f t="shared" si="0"/>
        <v>29.705728618980338</v>
      </c>
      <c r="T11" s="8">
        <f t="shared" si="1"/>
        <v>15.156648828124929</v>
      </c>
      <c r="U11" s="9">
        <f t="shared" si="2"/>
        <v>7.6705277343750993</v>
      </c>
      <c r="V11" s="9">
        <f t="shared" si="3"/>
        <v>5.7577464843749766</v>
      </c>
      <c r="W11" s="9">
        <f t="shared" si="4"/>
        <v>1.1208055721053323</v>
      </c>
      <c r="X11" t="b">
        <v>1</v>
      </c>
      <c r="Y11" s="8">
        <f t="shared" si="5"/>
        <v>0.99019095396601131</v>
      </c>
    </row>
    <row r="12" spans="1:25" x14ac:dyDescent="0.3">
      <c r="A12">
        <v>8</v>
      </c>
      <c r="B12">
        <v>30</v>
      </c>
      <c r="C12">
        <v>16.37</v>
      </c>
      <c r="D12">
        <v>6.93</v>
      </c>
      <c r="E12">
        <v>5.86</v>
      </c>
      <c r="F12">
        <v>0.57999999999999996</v>
      </c>
      <c r="G12" s="8" t="b">
        <v>0</v>
      </c>
      <c r="R12">
        <v>8.25</v>
      </c>
      <c r="S12" s="8">
        <f t="shared" si="0"/>
        <v>29.72549401129843</v>
      </c>
      <c r="T12" s="8">
        <f t="shared" si="1"/>
        <v>17.136473828124878</v>
      </c>
      <c r="U12" s="9">
        <f t="shared" si="2"/>
        <v>6.1828402343749929</v>
      </c>
      <c r="V12" s="9">
        <f t="shared" si="3"/>
        <v>5.3532714843749574</v>
      </c>
      <c r="W12" s="9">
        <f t="shared" si="4"/>
        <v>1.0529084644236035</v>
      </c>
      <c r="X12" t="b">
        <v>1</v>
      </c>
      <c r="Y12" s="8">
        <f t="shared" si="5"/>
        <v>0.9908498003766143</v>
      </c>
    </row>
    <row r="13" spans="1:25" x14ac:dyDescent="0.3">
      <c r="A13">
        <v>8.5</v>
      </c>
      <c r="B13">
        <v>30</v>
      </c>
      <c r="C13">
        <v>17.97</v>
      </c>
      <c r="D13">
        <v>5.55</v>
      </c>
      <c r="E13">
        <v>5.0999999999999996</v>
      </c>
      <c r="F13">
        <v>1.0900000000000001</v>
      </c>
      <c r="G13" s="8" t="b">
        <v>0</v>
      </c>
      <c r="R13">
        <v>8.75</v>
      </c>
      <c r="S13" s="8">
        <f t="shared" si="0"/>
        <v>29.754599478273612</v>
      </c>
      <c r="T13" s="8">
        <f t="shared" si="1"/>
        <v>18.727705078124956</v>
      </c>
      <c r="U13" s="9">
        <f t="shared" si="2"/>
        <v>5.077021484374967</v>
      </c>
      <c r="V13" s="9">
        <f t="shared" si="3"/>
        <v>4.9608652343749924</v>
      </c>
      <c r="W13" s="9">
        <f t="shared" si="4"/>
        <v>0.98900768139869744</v>
      </c>
      <c r="X13" t="b">
        <v>1</v>
      </c>
      <c r="Y13" s="8">
        <f t="shared" si="5"/>
        <v>0.99181998260912041</v>
      </c>
    </row>
    <row r="14" spans="1:25" x14ac:dyDescent="0.3">
      <c r="A14">
        <v>9</v>
      </c>
      <c r="B14">
        <v>30</v>
      </c>
      <c r="C14">
        <v>19.88</v>
      </c>
      <c r="D14">
        <v>4.4800000000000004</v>
      </c>
      <c r="E14">
        <v>4.5999999999999996</v>
      </c>
      <c r="F14">
        <v>0.83</v>
      </c>
      <c r="G14" s="8" t="b">
        <v>0</v>
      </c>
      <c r="R14">
        <v>9.25</v>
      </c>
      <c r="S14" s="8">
        <f t="shared" si="0"/>
        <v>29.781350619919365</v>
      </c>
      <c r="T14" s="8">
        <f t="shared" si="1"/>
        <v>19.944892578124751</v>
      </c>
      <c r="U14" s="9">
        <f t="shared" si="2"/>
        <v>4.349621484375092</v>
      </c>
      <c r="V14" s="9">
        <f t="shared" si="3"/>
        <v>4.5581777343749508</v>
      </c>
      <c r="W14" s="9">
        <f t="shared" si="4"/>
        <v>0.92865882304457292</v>
      </c>
      <c r="X14" t="b">
        <v>1</v>
      </c>
      <c r="Y14" s="8">
        <f t="shared" si="5"/>
        <v>0.99271168733064552</v>
      </c>
    </row>
    <row r="15" spans="1:25" x14ac:dyDescent="0.3">
      <c r="A15">
        <v>9.5</v>
      </c>
      <c r="B15">
        <v>30</v>
      </c>
      <c r="C15">
        <v>20.239999999999998</v>
      </c>
      <c r="D15">
        <v>4.09</v>
      </c>
      <c r="E15">
        <v>4.415</v>
      </c>
      <c r="F15">
        <v>0.96499999999999997</v>
      </c>
      <c r="G15" s="8" t="b">
        <v>0</v>
      </c>
      <c r="R15">
        <v>9.75</v>
      </c>
      <c r="S15" s="8">
        <f t="shared" si="0"/>
        <v>29.788573275354022</v>
      </c>
      <c r="T15" s="8">
        <f t="shared" si="1"/>
        <v>20.854936328124751</v>
      </c>
      <c r="U15" s="9">
        <f t="shared" si="2"/>
        <v>3.9238402343749783</v>
      </c>
      <c r="V15" s="9">
        <f t="shared" si="3"/>
        <v>4.1383089843748877</v>
      </c>
      <c r="W15" s="9">
        <f t="shared" si="4"/>
        <v>0.87148772847940448</v>
      </c>
      <c r="X15" t="b">
        <v>1</v>
      </c>
      <c r="Y15" s="8">
        <f t="shared" si="5"/>
        <v>0.9929524425118007</v>
      </c>
    </row>
    <row r="16" spans="1:25" x14ac:dyDescent="0.3">
      <c r="A16">
        <v>10</v>
      </c>
      <c r="B16">
        <v>30</v>
      </c>
      <c r="C16">
        <v>21.62</v>
      </c>
      <c r="D16">
        <v>3.44</v>
      </c>
      <c r="E16">
        <v>4.0250000000000004</v>
      </c>
      <c r="F16">
        <v>0.62</v>
      </c>
      <c r="G16" s="8" t="b">
        <v>0</v>
      </c>
      <c r="R16">
        <v>10.25</v>
      </c>
      <c r="S16" s="8">
        <f t="shared" si="0"/>
        <v>29.753599458610285</v>
      </c>
      <c r="T16" s="8">
        <f t="shared" si="1"/>
        <v>21.577086328124921</v>
      </c>
      <c r="U16" s="9">
        <f t="shared" si="2"/>
        <v>3.6495277343750274</v>
      </c>
      <c r="V16" s="9">
        <f t="shared" si="3"/>
        <v>3.7098089843750159</v>
      </c>
      <c r="W16" s="9">
        <f t="shared" si="4"/>
        <v>0.81717641173532263</v>
      </c>
      <c r="X16" t="b">
        <v>1</v>
      </c>
      <c r="Y16" s="8">
        <f t="shared" si="5"/>
        <v>0.99178664862034283</v>
      </c>
    </row>
    <row r="17" spans="1:25" x14ac:dyDescent="0.3">
      <c r="A17">
        <v>10.5</v>
      </c>
      <c r="B17">
        <v>30</v>
      </c>
      <c r="C17">
        <v>22.25</v>
      </c>
      <c r="D17">
        <v>3.01</v>
      </c>
      <c r="E17">
        <v>3.88</v>
      </c>
      <c r="F17">
        <v>0.82</v>
      </c>
      <c r="G17" s="8" t="b">
        <v>0</v>
      </c>
      <c r="R17">
        <v>10.75</v>
      </c>
      <c r="S17" s="8">
        <f t="shared" si="0"/>
        <v>29.648256647407901</v>
      </c>
      <c r="T17" s="8">
        <f t="shared" si="1"/>
        <v>22.282942578124931</v>
      </c>
      <c r="U17" s="9">
        <f t="shared" si="2"/>
        <v>3.3031839843750674</v>
      </c>
      <c r="V17" s="9">
        <f t="shared" si="3"/>
        <v>3.2966777343749101</v>
      </c>
      <c r="W17" s="9">
        <f t="shared" si="4"/>
        <v>0.76545235053299221</v>
      </c>
      <c r="X17" t="b">
        <v>1</v>
      </c>
      <c r="Y17" s="8">
        <f t="shared" si="5"/>
        <v>0.98827522158026337</v>
      </c>
    </row>
    <row r="18" spans="1:25" x14ac:dyDescent="0.3">
      <c r="A18">
        <v>11</v>
      </c>
      <c r="B18">
        <v>30</v>
      </c>
      <c r="C18">
        <v>23.05</v>
      </c>
      <c r="D18">
        <v>2.79</v>
      </c>
      <c r="E18">
        <v>3.12</v>
      </c>
      <c r="F18">
        <v>1.1200000000000001</v>
      </c>
      <c r="G18" s="8" t="b">
        <v>0</v>
      </c>
      <c r="S18" s="8"/>
      <c r="T18" s="8"/>
      <c r="U18" s="9"/>
      <c r="V18" s="9"/>
      <c r="W18" s="9"/>
      <c r="Y18" s="8"/>
    </row>
    <row r="19" spans="1:25" x14ac:dyDescent="0.3">
      <c r="A19">
        <v>4.25</v>
      </c>
      <c r="B19" s="8">
        <f t="shared" ref="B19:B32" si="6">SUM(C19:F19)</f>
        <v>29.673656531406159</v>
      </c>
      <c r="C19" s="8">
        <f t="shared" ref="C19:C32" si="7" xml:space="preserve"> 0.0349 * A19^4 - 1.1672 * A19^3 + 13.85 * A19^2 - 65.01 * A19 + 104.53</f>
        <v>0.18854882812499341</v>
      </c>
      <c r="D19" s="9">
        <f t="shared" ref="D19:D32" si="8" xml:space="preserve"> -0.0489 * A19^4 + 1.658 * A19^3 - 20.29 * A19^2 + 103.47 * A19 - 170.92</f>
        <v>13.662965234375037</v>
      </c>
      <c r="E19" s="9">
        <f t="shared" ref="E19:E32" si="9" xml:space="preserve"> 0.0103 * A19^4 - 0.38 * A19^3 + 5.2203 * A19^2 - 32.465 * A19 + 83.544</f>
        <v>14.048896484374978</v>
      </c>
      <c r="F19" s="9">
        <f t="shared" ref="F19:F32" si="10" xml:space="preserve"> -1.086 * LN(A19) + 3.3446</f>
        <v>1.7732459845311503</v>
      </c>
      <c r="G19" s="8" t="b">
        <v>1</v>
      </c>
    </row>
    <row r="20" spans="1:25" x14ac:dyDescent="0.3">
      <c r="A20">
        <v>4.75</v>
      </c>
      <c r="B20" s="8">
        <f t="shared" si="6"/>
        <v>29.754321741676407</v>
      </c>
      <c r="C20" s="8">
        <f t="shared" si="7"/>
        <v>0.89853007812493502</v>
      </c>
      <c r="D20" s="9">
        <f t="shared" si="8"/>
        <v>15.566996484375039</v>
      </c>
      <c r="E20" s="9">
        <f t="shared" si="9"/>
        <v>11.636340234374984</v>
      </c>
      <c r="F20" s="9">
        <f t="shared" si="10"/>
        <v>1.6524549448014465</v>
      </c>
      <c r="G20" s="8" t="b">
        <v>1</v>
      </c>
    </row>
    <row r="21" spans="1:25" x14ac:dyDescent="0.3">
      <c r="A21">
        <v>5.25</v>
      </c>
      <c r="B21" s="8">
        <f t="shared" si="6"/>
        <v>29.775781105683492</v>
      </c>
      <c r="C21" s="8">
        <f t="shared" si="7"/>
        <v>2.5838675781249378</v>
      </c>
      <c r="D21" s="9">
        <f t="shared" si="8"/>
        <v>15.823246484375005</v>
      </c>
      <c r="E21" s="9">
        <f t="shared" si="9"/>
        <v>9.8249027343749873</v>
      </c>
      <c r="F21" s="9">
        <f t="shared" si="10"/>
        <v>1.5437643088085635</v>
      </c>
      <c r="G21" s="8" t="b">
        <v>1</v>
      </c>
    </row>
    <row r="22" spans="1:25" x14ac:dyDescent="0.3">
      <c r="A22">
        <v>5.75</v>
      </c>
      <c r="B22" s="8">
        <f t="shared" si="6"/>
        <v>29.763429504552061</v>
      </c>
      <c r="C22" s="8">
        <f t="shared" si="7"/>
        <v>4.8926613281249445</v>
      </c>
      <c r="D22" s="9">
        <f t="shared" si="8"/>
        <v>14.941715234374982</v>
      </c>
      <c r="E22" s="9">
        <f t="shared" si="9"/>
        <v>8.4840839843749905</v>
      </c>
      <c r="F22" s="9">
        <f t="shared" si="10"/>
        <v>1.4449689576771443</v>
      </c>
      <c r="G22" s="8" t="b">
        <v>1</v>
      </c>
    </row>
    <row r="23" spans="1:25" x14ac:dyDescent="0.3">
      <c r="A23">
        <v>6.25</v>
      </c>
      <c r="B23" s="8">
        <f t="shared" si="6"/>
        <v>29.73766457724426</v>
      </c>
      <c r="C23" s="8">
        <f t="shared" si="7"/>
        <v>7.5253613281249443</v>
      </c>
      <c r="D23" s="9">
        <f t="shared" si="8"/>
        <v>13.359052734375013</v>
      </c>
      <c r="E23" s="9">
        <f t="shared" si="9"/>
        <v>7.4988339843749685</v>
      </c>
      <c r="F23" s="9">
        <f t="shared" si="10"/>
        <v>1.3544165303693347</v>
      </c>
      <c r="G23" s="8" t="b">
        <v>1</v>
      </c>
    </row>
    <row r="24" spans="1:25" x14ac:dyDescent="0.3">
      <c r="A24">
        <v>6.75</v>
      </c>
      <c r="B24" s="8">
        <f t="shared" si="6"/>
        <v>29.713716136570476</v>
      </c>
      <c r="C24" s="8">
        <f t="shared" si="7"/>
        <v>10.234767578124973</v>
      </c>
      <c r="D24" s="9">
        <f t="shared" si="8"/>
        <v>11.438558984375021</v>
      </c>
      <c r="E24" s="9">
        <f t="shared" si="9"/>
        <v>6.7695527343749831</v>
      </c>
      <c r="F24" s="9">
        <f t="shared" si="10"/>
        <v>1.2708368396954994</v>
      </c>
      <c r="G24" s="8" t="b">
        <v>1</v>
      </c>
    </row>
    <row r="25" spans="1:25" x14ac:dyDescent="0.3">
      <c r="A25">
        <v>7.25</v>
      </c>
      <c r="B25" s="8">
        <f t="shared" si="6"/>
        <v>29.701536701685871</v>
      </c>
      <c r="C25" s="8">
        <f t="shared" si="7"/>
        <v>12.826030078124944</v>
      </c>
      <c r="D25" s="9">
        <f t="shared" si="8"/>
        <v>9.4701839843750975</v>
      </c>
      <c r="E25" s="9">
        <f t="shared" si="9"/>
        <v>6.2120902343749407</v>
      </c>
      <c r="F25" s="9">
        <f t="shared" si="10"/>
        <v>1.1932324048108902</v>
      </c>
      <c r="G25" s="8" t="b">
        <v>1</v>
      </c>
    </row>
    <row r="26" spans="1:25" x14ac:dyDescent="0.3">
      <c r="A26">
        <v>7.75</v>
      </c>
      <c r="B26" s="8">
        <f t="shared" si="6"/>
        <v>29.705728618980338</v>
      </c>
      <c r="C26" s="8">
        <f t="shared" si="7"/>
        <v>15.156648828124929</v>
      </c>
      <c r="D26" s="9">
        <f t="shared" si="8"/>
        <v>7.6705277343750993</v>
      </c>
      <c r="E26" s="9">
        <f t="shared" si="9"/>
        <v>5.7577464843749766</v>
      </c>
      <c r="F26" s="9">
        <f t="shared" si="10"/>
        <v>1.1208055721053323</v>
      </c>
      <c r="G26" s="8" t="b">
        <v>1</v>
      </c>
    </row>
    <row r="27" spans="1:25" x14ac:dyDescent="0.3">
      <c r="A27">
        <v>8.25</v>
      </c>
      <c r="B27" s="8">
        <f t="shared" si="6"/>
        <v>29.72549401129843</v>
      </c>
      <c r="C27" s="8">
        <f t="shared" si="7"/>
        <v>17.136473828124878</v>
      </c>
      <c r="D27" s="9">
        <f t="shared" si="8"/>
        <v>6.1828402343749929</v>
      </c>
      <c r="E27" s="9">
        <f t="shared" si="9"/>
        <v>5.3532714843749574</v>
      </c>
      <c r="F27" s="9">
        <f t="shared" si="10"/>
        <v>1.0529084644236035</v>
      </c>
      <c r="G27" s="8" t="b">
        <v>1</v>
      </c>
    </row>
    <row r="28" spans="1:25" x14ac:dyDescent="0.3">
      <c r="A28">
        <v>8.75</v>
      </c>
      <c r="B28" s="8">
        <f t="shared" si="6"/>
        <v>29.754599478273612</v>
      </c>
      <c r="C28" s="8">
        <f t="shared" si="7"/>
        <v>18.727705078124956</v>
      </c>
      <c r="D28" s="9">
        <f t="shared" si="8"/>
        <v>5.077021484374967</v>
      </c>
      <c r="E28" s="9">
        <f t="shared" si="9"/>
        <v>4.9608652343749924</v>
      </c>
      <c r="F28" s="9">
        <f t="shared" si="10"/>
        <v>0.98900768139869744</v>
      </c>
      <c r="G28" s="8" t="b">
        <v>1</v>
      </c>
    </row>
    <row r="29" spans="1:25" x14ac:dyDescent="0.3">
      <c r="A29">
        <v>9.25</v>
      </c>
      <c r="B29" s="8">
        <f t="shared" si="6"/>
        <v>29.781350619919365</v>
      </c>
      <c r="C29" s="8">
        <f t="shared" si="7"/>
        <v>19.944892578124751</v>
      </c>
      <c r="D29" s="9">
        <f t="shared" si="8"/>
        <v>4.349621484375092</v>
      </c>
      <c r="E29" s="9">
        <f t="shared" si="9"/>
        <v>4.5581777343749508</v>
      </c>
      <c r="F29" s="9">
        <f t="shared" si="10"/>
        <v>0.92865882304457292</v>
      </c>
      <c r="G29" s="8" t="b">
        <v>1</v>
      </c>
    </row>
    <row r="30" spans="1:25" x14ac:dyDescent="0.3">
      <c r="A30">
        <v>9.75</v>
      </c>
      <c r="B30" s="8">
        <f t="shared" si="6"/>
        <v>29.788573275354022</v>
      </c>
      <c r="C30" s="8">
        <f t="shared" si="7"/>
        <v>20.854936328124751</v>
      </c>
      <c r="D30" s="9">
        <f t="shared" si="8"/>
        <v>3.9238402343749783</v>
      </c>
      <c r="E30" s="9">
        <f t="shared" si="9"/>
        <v>4.1383089843748877</v>
      </c>
      <c r="F30" s="9">
        <f t="shared" si="10"/>
        <v>0.87148772847940448</v>
      </c>
      <c r="G30" s="8" t="b">
        <v>1</v>
      </c>
    </row>
    <row r="31" spans="1:25" x14ac:dyDescent="0.3">
      <c r="A31">
        <v>10.25</v>
      </c>
      <c r="B31" s="8">
        <f t="shared" si="6"/>
        <v>29.753599458610285</v>
      </c>
      <c r="C31" s="8">
        <f t="shared" si="7"/>
        <v>21.577086328124921</v>
      </c>
      <c r="D31" s="9">
        <f t="shared" si="8"/>
        <v>3.6495277343750274</v>
      </c>
      <c r="E31" s="9">
        <f t="shared" si="9"/>
        <v>3.7098089843750159</v>
      </c>
      <c r="F31" s="9">
        <f t="shared" si="10"/>
        <v>0.81717641173532263</v>
      </c>
      <c r="G31" s="8" t="b">
        <v>1</v>
      </c>
    </row>
    <row r="32" spans="1:25" x14ac:dyDescent="0.3">
      <c r="A32">
        <v>10.75</v>
      </c>
      <c r="B32" s="8">
        <f t="shared" si="6"/>
        <v>29.648256647407901</v>
      </c>
      <c r="C32" s="8">
        <f t="shared" si="7"/>
        <v>22.282942578124931</v>
      </c>
      <c r="D32" s="9">
        <f t="shared" si="8"/>
        <v>3.3031839843750674</v>
      </c>
      <c r="E32" s="9">
        <f t="shared" si="9"/>
        <v>3.2966777343749101</v>
      </c>
      <c r="F32" s="9">
        <f t="shared" si="10"/>
        <v>0.76545235053299221</v>
      </c>
      <c r="G32" s="8" t="b">
        <v>1</v>
      </c>
    </row>
  </sheetData>
  <conditionalFormatting sqref="Y4:Y18">
    <cfRule type="colorScale" priority="1">
      <colorScale>
        <cfvo type="num" val="0"/>
        <cfvo type="num" val="1"/>
        <cfvo type="num" val="2"/>
        <color rgb="FFF8696B"/>
        <color rgb="FF92D050"/>
        <color rgb="FF00B0F0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9CB84-CC01-B54E-A7D6-58D8B1375936}">
  <dimension ref="B2:M35"/>
  <sheetViews>
    <sheetView workbookViewId="0">
      <selection activeCell="G24" sqref="G24"/>
    </sheetView>
  </sheetViews>
  <sheetFormatPr defaultColWidth="11.19921875" defaultRowHeight="15.6" x14ac:dyDescent="0.3"/>
  <cols>
    <col min="2" max="2" width="13.296875" style="3" customWidth="1"/>
    <col min="4" max="4" width="12.296875" customWidth="1"/>
    <col min="6" max="6" width="10.796875" style="4"/>
    <col min="7" max="7" width="16.796875" customWidth="1"/>
    <col min="10" max="10" width="15.69921875" customWidth="1"/>
  </cols>
  <sheetData>
    <row r="2" spans="2:13" x14ac:dyDescent="0.3">
      <c r="D2" s="2"/>
    </row>
    <row r="3" spans="2:13" x14ac:dyDescent="0.3">
      <c r="D3" s="2"/>
      <c r="E3" s="3"/>
      <c r="F3" s="6"/>
    </row>
    <row r="4" spans="2:13" ht="46.8" x14ac:dyDescent="0.3">
      <c r="B4" s="1" t="s">
        <v>0</v>
      </c>
      <c r="C4" s="3" t="s">
        <v>1</v>
      </c>
      <c r="D4" s="1" t="s">
        <v>0</v>
      </c>
      <c r="E4" s="1" t="s">
        <v>21</v>
      </c>
      <c r="F4" s="5" t="s">
        <v>1</v>
      </c>
      <c r="G4" s="3" t="s">
        <v>54</v>
      </c>
      <c r="J4" s="3" t="s">
        <v>55</v>
      </c>
      <c r="K4" s="3" t="s">
        <v>57</v>
      </c>
      <c r="L4" s="3" t="s">
        <v>58</v>
      </c>
      <c r="M4" s="3" t="s">
        <v>59</v>
      </c>
    </row>
    <row r="5" spans="2:13" x14ac:dyDescent="0.3">
      <c r="B5" s="3">
        <v>22</v>
      </c>
      <c r="C5" s="3">
        <v>26</v>
      </c>
      <c r="D5" s="2" t="s">
        <v>22</v>
      </c>
      <c r="E5" s="3" t="s">
        <v>10</v>
      </c>
      <c r="F5" s="6" t="s">
        <v>23</v>
      </c>
      <c r="G5" s="3" t="s">
        <v>43</v>
      </c>
    </row>
    <row r="6" spans="2:13" x14ac:dyDescent="0.3">
      <c r="B6" s="3">
        <v>26</v>
      </c>
      <c r="C6" s="3" t="s">
        <v>2</v>
      </c>
      <c r="D6" s="2" t="s">
        <v>23</v>
      </c>
      <c r="E6" s="3" t="s">
        <v>11</v>
      </c>
      <c r="F6" s="6" t="s">
        <v>33</v>
      </c>
      <c r="G6" s="3" t="s">
        <v>44</v>
      </c>
      <c r="J6">
        <v>11</v>
      </c>
      <c r="K6" s="7">
        <v>18</v>
      </c>
      <c r="L6">
        <v>1</v>
      </c>
    </row>
    <row r="7" spans="2:13" x14ac:dyDescent="0.3">
      <c r="B7" s="3">
        <v>29</v>
      </c>
      <c r="C7" s="3">
        <v>41</v>
      </c>
      <c r="D7" s="2" t="s">
        <v>24</v>
      </c>
      <c r="E7" s="3" t="s">
        <v>12</v>
      </c>
      <c r="F7" s="6" t="s">
        <v>34</v>
      </c>
      <c r="G7" s="3" t="s">
        <v>45</v>
      </c>
      <c r="J7">
        <v>12</v>
      </c>
      <c r="K7" s="7">
        <f>AVERAGE(K6,K8)</f>
        <v>19.5</v>
      </c>
      <c r="M7">
        <v>2</v>
      </c>
    </row>
    <row r="8" spans="2:13" x14ac:dyDescent="0.3">
      <c r="B8" s="3">
        <v>32</v>
      </c>
      <c r="C8" s="3">
        <v>45</v>
      </c>
      <c r="D8" s="2" t="s">
        <v>25</v>
      </c>
      <c r="E8" s="3" t="s">
        <v>13</v>
      </c>
      <c r="F8" s="6" t="s">
        <v>35</v>
      </c>
      <c r="G8" s="3" t="s">
        <v>46</v>
      </c>
      <c r="J8">
        <v>13</v>
      </c>
      <c r="K8" s="7">
        <v>21</v>
      </c>
      <c r="L8">
        <v>26</v>
      </c>
    </row>
    <row r="9" spans="2:13" x14ac:dyDescent="0.3">
      <c r="B9" s="3">
        <v>34</v>
      </c>
      <c r="C9" s="3" t="s">
        <v>3</v>
      </c>
      <c r="D9" s="2" t="s">
        <v>26</v>
      </c>
      <c r="E9" s="3" t="s">
        <v>14</v>
      </c>
      <c r="F9" s="6" t="s">
        <v>36</v>
      </c>
      <c r="G9" s="3" t="s">
        <v>47</v>
      </c>
      <c r="J9">
        <v>14</v>
      </c>
      <c r="K9" s="7">
        <f>AVERAGE(K8,K10)</f>
        <v>22.5</v>
      </c>
    </row>
    <row r="10" spans="2:13" x14ac:dyDescent="0.3">
      <c r="B10" s="3">
        <v>43</v>
      </c>
      <c r="C10" s="3" t="s">
        <v>4</v>
      </c>
      <c r="D10" s="2" t="s">
        <v>27</v>
      </c>
      <c r="E10" s="3" t="s">
        <v>15</v>
      </c>
      <c r="F10" s="6" t="s">
        <v>37</v>
      </c>
      <c r="G10" s="3" t="s">
        <v>48</v>
      </c>
      <c r="J10">
        <v>15</v>
      </c>
      <c r="K10" s="7">
        <v>24</v>
      </c>
      <c r="L10">
        <v>31</v>
      </c>
      <c r="M10">
        <v>33</v>
      </c>
    </row>
    <row r="11" spans="2:13" x14ac:dyDescent="0.3">
      <c r="B11" s="3">
        <v>46</v>
      </c>
      <c r="C11" s="3" t="s">
        <v>5</v>
      </c>
      <c r="D11" s="2" t="s">
        <v>28</v>
      </c>
      <c r="E11" s="3" t="s">
        <v>16</v>
      </c>
      <c r="F11" s="6" t="s">
        <v>38</v>
      </c>
      <c r="G11" s="3" t="s">
        <v>49</v>
      </c>
      <c r="J11">
        <v>16</v>
      </c>
      <c r="K11" s="7">
        <f>AVERAGE(K10,K12)</f>
        <v>26</v>
      </c>
    </row>
    <row r="12" spans="2:13" x14ac:dyDescent="0.3">
      <c r="B12" s="3">
        <v>48</v>
      </c>
      <c r="C12" s="3" t="s">
        <v>6</v>
      </c>
      <c r="D12" s="2" t="s">
        <v>29</v>
      </c>
      <c r="E12" s="3" t="s">
        <v>17</v>
      </c>
      <c r="F12" s="6" t="s">
        <v>39</v>
      </c>
      <c r="G12" s="3" t="s">
        <v>50</v>
      </c>
      <c r="J12">
        <v>17</v>
      </c>
      <c r="K12" s="7">
        <v>28</v>
      </c>
      <c r="L12">
        <v>40</v>
      </c>
    </row>
    <row r="13" spans="2:13" x14ac:dyDescent="0.3">
      <c r="B13" s="3">
        <v>52</v>
      </c>
      <c r="C13" s="3" t="s">
        <v>7</v>
      </c>
      <c r="D13" s="2" t="s">
        <v>30</v>
      </c>
      <c r="E13" s="3" t="s">
        <v>18</v>
      </c>
      <c r="F13" s="6" t="s">
        <v>40</v>
      </c>
      <c r="G13" s="3" t="s">
        <v>51</v>
      </c>
      <c r="J13">
        <v>18</v>
      </c>
      <c r="K13" s="7">
        <f>AVERAGE(K12,K14)</f>
        <v>30.5</v>
      </c>
      <c r="M13">
        <v>42</v>
      </c>
    </row>
    <row r="14" spans="2:13" x14ac:dyDescent="0.3">
      <c r="B14" s="3">
        <v>54</v>
      </c>
      <c r="C14" s="3" t="s">
        <v>8</v>
      </c>
      <c r="D14" s="2" t="s">
        <v>31</v>
      </c>
      <c r="E14" s="3" t="s">
        <v>19</v>
      </c>
      <c r="F14" s="6" t="s">
        <v>41</v>
      </c>
      <c r="G14" s="3" t="s">
        <v>52</v>
      </c>
      <c r="J14">
        <v>19</v>
      </c>
      <c r="K14" s="7">
        <v>33</v>
      </c>
      <c r="L14">
        <v>46</v>
      </c>
    </row>
    <row r="15" spans="2:13" x14ac:dyDescent="0.3">
      <c r="B15" s="3">
        <v>57</v>
      </c>
      <c r="C15" s="3" t="s">
        <v>9</v>
      </c>
      <c r="D15" s="2" t="s">
        <v>32</v>
      </c>
      <c r="E15" s="3" t="s">
        <v>20</v>
      </c>
      <c r="F15" s="6" t="s">
        <v>42</v>
      </c>
      <c r="G15" s="3" t="s">
        <v>53</v>
      </c>
      <c r="J15">
        <v>20</v>
      </c>
      <c r="K15" s="7">
        <f>AVERAGE(K14,K16)</f>
        <v>37.5</v>
      </c>
      <c r="M15">
        <v>50</v>
      </c>
    </row>
    <row r="16" spans="2:13" x14ac:dyDescent="0.3">
      <c r="B16" s="3">
        <v>61</v>
      </c>
      <c r="C16" s="3" t="s">
        <v>9</v>
      </c>
      <c r="J16">
        <v>21</v>
      </c>
      <c r="K16" s="7">
        <v>42</v>
      </c>
      <c r="L16">
        <v>50</v>
      </c>
    </row>
    <row r="17" spans="2:11" x14ac:dyDescent="0.3">
      <c r="B17" s="3">
        <v>64</v>
      </c>
      <c r="C17" s="3" t="s">
        <v>9</v>
      </c>
      <c r="J17">
        <v>22</v>
      </c>
      <c r="K17" s="7">
        <f>AVERAGE(K16,K18)</f>
        <v>44.5</v>
      </c>
    </row>
    <row r="18" spans="2:11" x14ac:dyDescent="0.3">
      <c r="J18">
        <v>23</v>
      </c>
      <c r="K18" s="7">
        <v>47</v>
      </c>
    </row>
    <row r="19" spans="2:11" x14ac:dyDescent="0.3">
      <c r="J19">
        <v>24</v>
      </c>
      <c r="K19" s="7">
        <f>AVERAGE(K18,K20)</f>
        <v>49.5</v>
      </c>
    </row>
    <row r="20" spans="2:11" x14ac:dyDescent="0.3">
      <c r="J20">
        <v>25</v>
      </c>
      <c r="K20" s="7">
        <v>52</v>
      </c>
    </row>
    <row r="21" spans="2:11" x14ac:dyDescent="0.3">
      <c r="J21">
        <v>26</v>
      </c>
      <c r="K21" s="7">
        <f>AVERAGE(K20,K22)</f>
        <v>55.5</v>
      </c>
    </row>
    <row r="22" spans="2:11" x14ac:dyDescent="0.3">
      <c r="B22" s="3" t="s">
        <v>61</v>
      </c>
      <c r="J22">
        <v>27</v>
      </c>
      <c r="K22" s="7">
        <v>59</v>
      </c>
    </row>
    <row r="23" spans="2:11" x14ac:dyDescent="0.3">
      <c r="C23" t="s">
        <v>56</v>
      </c>
      <c r="D23" s="3" t="s">
        <v>59</v>
      </c>
      <c r="E23" t="s">
        <v>60</v>
      </c>
      <c r="J23">
        <v>28</v>
      </c>
      <c r="K23" s="7">
        <f>AVERAGE(K22,K24)</f>
        <v>60.5</v>
      </c>
    </row>
    <row r="24" spans="2:11" x14ac:dyDescent="0.3">
      <c r="C24">
        <v>15</v>
      </c>
      <c r="D24">
        <v>1</v>
      </c>
      <c r="E24">
        <v>11</v>
      </c>
      <c r="J24">
        <v>29</v>
      </c>
      <c r="K24" s="7">
        <v>62</v>
      </c>
    </row>
    <row r="25" spans="2:11" x14ac:dyDescent="0.3">
      <c r="C25">
        <v>20</v>
      </c>
      <c r="D25">
        <v>2</v>
      </c>
      <c r="E25">
        <v>11</v>
      </c>
      <c r="J25">
        <v>30</v>
      </c>
      <c r="K25" s="7">
        <f>AVERAGE(K24,K26)</f>
        <v>64</v>
      </c>
    </row>
    <row r="26" spans="2:11" x14ac:dyDescent="0.3">
      <c r="C26">
        <v>25</v>
      </c>
      <c r="D26">
        <v>33</v>
      </c>
      <c r="E26">
        <v>15</v>
      </c>
      <c r="J26">
        <v>31</v>
      </c>
      <c r="K26" s="7">
        <v>66</v>
      </c>
    </row>
    <row r="27" spans="2:11" x14ac:dyDescent="0.3">
      <c r="C27">
        <v>30</v>
      </c>
      <c r="D27">
        <v>42</v>
      </c>
      <c r="E27">
        <v>17</v>
      </c>
    </row>
    <row r="28" spans="2:11" x14ac:dyDescent="0.3">
      <c r="C28">
        <v>35</v>
      </c>
      <c r="D28">
        <v>50</v>
      </c>
      <c r="E28">
        <v>21</v>
      </c>
    </row>
    <row r="29" spans="2:11" x14ac:dyDescent="0.3">
      <c r="C29">
        <v>40</v>
      </c>
      <c r="E29">
        <v>21</v>
      </c>
    </row>
    <row r="30" spans="2:11" x14ac:dyDescent="0.3">
      <c r="C30">
        <v>45</v>
      </c>
      <c r="E30">
        <v>23</v>
      </c>
    </row>
    <row r="31" spans="2:11" x14ac:dyDescent="0.3">
      <c r="C31">
        <v>50</v>
      </c>
      <c r="E31">
        <v>25</v>
      </c>
    </row>
    <row r="32" spans="2:11" x14ac:dyDescent="0.3">
      <c r="C32">
        <v>55</v>
      </c>
      <c r="E32">
        <v>25</v>
      </c>
    </row>
    <row r="33" spans="3:5" x14ac:dyDescent="0.3">
      <c r="C33">
        <v>60</v>
      </c>
      <c r="E33">
        <v>27</v>
      </c>
    </row>
    <row r="34" spans="3:5" x14ac:dyDescent="0.3">
      <c r="C34">
        <v>65</v>
      </c>
      <c r="E34">
        <v>31</v>
      </c>
    </row>
    <row r="35" spans="3:5" x14ac:dyDescent="0.3">
      <c r="C35">
        <v>70</v>
      </c>
      <c r="E35">
        <v>31</v>
      </c>
    </row>
  </sheetData>
  <conditionalFormatting sqref="K6:M26">
    <cfRule type="expression" dxfId="0" priority="1" stopIfTrue="1">
      <formula>_xlfn.ISFORMULA(INDIRECT("rc",FALSE))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Commandante C40</vt:lpstr>
      <vt:lpstr>Ditting 807</vt:lpstr>
      <vt:lpstr>Niche Zero</vt:lpstr>
      <vt:lpstr>Mahlkönig Tanzania</vt:lpstr>
      <vt:lpstr>Mahlkönig EK43 (turkish)</vt:lpstr>
      <vt:lpstr>From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Kryuchkov</dc:creator>
  <cp:lastModifiedBy>Mikhail Kryuchkov</cp:lastModifiedBy>
  <dcterms:created xsi:type="dcterms:W3CDTF">2023-06-19T09:35:17Z</dcterms:created>
  <dcterms:modified xsi:type="dcterms:W3CDTF">2023-09-05T21:23:13Z</dcterms:modified>
</cp:coreProperties>
</file>