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omments1.xml" ContentType="application/vnd.openxmlformats-officedocument.spreadsheetml.comments+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autoCompressPictures="0"/>
  <bookViews>
    <workbookView xWindow="0" yWindow="0" windowWidth="25600" windowHeight="15480" tabRatio="500"/>
  </bookViews>
  <sheets>
    <sheet name="Title Page" sheetId="13" r:id="rId1"/>
    <sheet name="Farmer IS" sheetId="6" r:id="rId2"/>
    <sheet name="Farmer Projection" sheetId="11" r:id="rId3"/>
    <sheet name="Association IS" sheetId="7" r:id="rId4"/>
    <sheet name="Association Projection" sheetId="12" r:id="rId5"/>
    <sheet name="Sale Prices" sheetId="8" r:id="rId6"/>
    <sheet name="Value Chain" sheetId="9" r:id="rId7"/>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42" i="12" l="1"/>
  <c r="E42" i="12"/>
  <c r="F42" i="12"/>
  <c r="G42" i="12"/>
  <c r="C11" i="12"/>
  <c r="D11" i="12"/>
  <c r="C14" i="12"/>
  <c r="D14" i="12"/>
  <c r="D22" i="12"/>
  <c r="E11" i="12"/>
  <c r="E14" i="12"/>
  <c r="E22" i="12"/>
  <c r="F11" i="12"/>
  <c r="F14" i="12"/>
  <c r="F22" i="12"/>
  <c r="G11" i="12"/>
  <c r="G14" i="12"/>
  <c r="G22" i="12"/>
  <c r="C22" i="12"/>
  <c r="E21" i="12"/>
  <c r="F21" i="12"/>
  <c r="G21" i="12"/>
  <c r="D21" i="12"/>
  <c r="C11" i="7"/>
  <c r="D11" i="7"/>
  <c r="C14" i="7"/>
  <c r="D14" i="7"/>
  <c r="D22" i="7"/>
  <c r="C22" i="7"/>
  <c r="C9" i="11"/>
  <c r="D9" i="11"/>
  <c r="E9" i="11"/>
  <c r="F9" i="11"/>
  <c r="G9" i="11"/>
  <c r="D41" i="12"/>
  <c r="E41" i="12"/>
  <c r="F41" i="12"/>
  <c r="G41" i="12"/>
  <c r="D40" i="12"/>
  <c r="E40" i="12"/>
  <c r="F40" i="12"/>
  <c r="G40" i="12"/>
  <c r="D39" i="12"/>
  <c r="E39" i="12"/>
  <c r="F39" i="12"/>
  <c r="G39" i="12"/>
  <c r="D38" i="12"/>
  <c r="E38" i="12"/>
  <c r="F38" i="12"/>
  <c r="G38" i="12"/>
  <c r="D37" i="12"/>
  <c r="E37" i="12"/>
  <c r="F37" i="12"/>
  <c r="G37" i="12"/>
  <c r="D36" i="12"/>
  <c r="E36" i="12"/>
  <c r="F36" i="12"/>
  <c r="G36" i="12"/>
  <c r="D33" i="12"/>
  <c r="E33" i="12"/>
  <c r="F33" i="12"/>
  <c r="G33" i="12"/>
  <c r="D32" i="12"/>
  <c r="F32" i="12"/>
  <c r="G32" i="12"/>
  <c r="D31" i="12"/>
  <c r="E31" i="12"/>
  <c r="F31" i="12"/>
  <c r="G31" i="12"/>
  <c r="D30" i="12"/>
  <c r="E30" i="12"/>
  <c r="F30" i="12"/>
  <c r="G30" i="12"/>
  <c r="D29" i="12"/>
  <c r="E29" i="12"/>
  <c r="F29" i="12"/>
  <c r="G29" i="12"/>
  <c r="D27" i="12"/>
  <c r="E27" i="12"/>
  <c r="F27" i="12"/>
  <c r="G27" i="12"/>
  <c r="D26" i="12"/>
  <c r="E26" i="12"/>
  <c r="F26" i="12"/>
  <c r="G26" i="12"/>
  <c r="D20" i="12"/>
  <c r="E20" i="12"/>
  <c r="F20" i="12"/>
  <c r="G20" i="12"/>
  <c r="D19" i="12"/>
  <c r="E19" i="12"/>
  <c r="F19" i="12"/>
  <c r="G19" i="12"/>
  <c r="D18" i="12"/>
  <c r="E18" i="12"/>
  <c r="F18" i="12"/>
  <c r="G18" i="12"/>
  <c r="D15" i="12"/>
  <c r="E15" i="12"/>
  <c r="F15" i="12"/>
  <c r="G15" i="12"/>
  <c r="D12" i="12"/>
  <c r="E12" i="12"/>
  <c r="F12" i="12"/>
  <c r="G12" i="12"/>
  <c r="D17" i="12"/>
  <c r="E17" i="12"/>
  <c r="F17" i="12"/>
  <c r="G17" i="12"/>
  <c r="D25" i="12"/>
  <c r="E25" i="12"/>
  <c r="F25" i="12"/>
  <c r="G25" i="12"/>
  <c r="D28" i="12"/>
  <c r="E28" i="12"/>
  <c r="F28" i="12"/>
  <c r="G28" i="12"/>
  <c r="D34" i="12"/>
  <c r="E34" i="12"/>
  <c r="F34" i="12"/>
  <c r="G34" i="12"/>
  <c r="D43" i="12"/>
  <c r="E43" i="12"/>
  <c r="F43" i="12"/>
  <c r="G43" i="12"/>
  <c r="D45" i="12"/>
  <c r="E45" i="12"/>
  <c r="F45" i="12"/>
  <c r="G45" i="12"/>
  <c r="D46" i="12"/>
  <c r="E46" i="12"/>
  <c r="F46" i="12"/>
  <c r="G46" i="12"/>
  <c r="C33" i="12"/>
  <c r="C12" i="12"/>
  <c r="C15" i="12"/>
  <c r="C18" i="12"/>
  <c r="C25" i="12"/>
  <c r="C28" i="12"/>
  <c r="C31" i="12"/>
  <c r="C34" i="12"/>
  <c r="C38" i="12"/>
  <c r="C43" i="12"/>
  <c r="C45" i="12"/>
  <c r="C46" i="12"/>
  <c r="C12" i="7"/>
  <c r="C15" i="7"/>
  <c r="C18" i="7"/>
  <c r="C33" i="7"/>
  <c r="D33" i="7"/>
  <c r="C10" i="11"/>
  <c r="G18" i="11"/>
  <c r="F18" i="11"/>
  <c r="E18" i="11"/>
  <c r="C17" i="11"/>
  <c r="F17" i="11"/>
  <c r="G17" i="11"/>
  <c r="D17" i="11"/>
  <c r="E17" i="11"/>
  <c r="C16" i="11"/>
  <c r="F16" i="11"/>
  <c r="G16" i="11"/>
  <c r="D16" i="11"/>
  <c r="E16" i="11"/>
  <c r="D10" i="11"/>
  <c r="E10" i="11"/>
  <c r="F10" i="11"/>
  <c r="G10" i="11"/>
  <c r="D13" i="11"/>
  <c r="E13" i="11"/>
  <c r="F13" i="11"/>
  <c r="G13" i="11"/>
  <c r="D18" i="11"/>
  <c r="D20" i="11"/>
  <c r="E20" i="11"/>
  <c r="F20" i="11"/>
  <c r="G20" i="11"/>
  <c r="D22" i="11"/>
  <c r="E22" i="11"/>
  <c r="F22" i="11"/>
  <c r="G22" i="11"/>
  <c r="D23" i="11"/>
  <c r="E23" i="11"/>
  <c r="F23" i="11"/>
  <c r="G23" i="11"/>
  <c r="C18" i="11"/>
  <c r="C13" i="11"/>
  <c r="C20" i="11"/>
  <c r="C22" i="11"/>
  <c r="C23" i="11"/>
  <c r="K35" i="7"/>
  <c r="F9" i="7"/>
  <c r="F17" i="8"/>
  <c r="F18" i="8"/>
  <c r="G17" i="8"/>
  <c r="F5" i="9"/>
  <c r="F4" i="8"/>
  <c r="F5" i="8"/>
  <c r="F6" i="8"/>
  <c r="F7" i="8"/>
  <c r="F8" i="8"/>
  <c r="G4" i="8"/>
  <c r="F6" i="9"/>
  <c r="F19" i="8"/>
  <c r="F20" i="8"/>
  <c r="F21" i="8"/>
  <c r="F22" i="8"/>
  <c r="G19" i="8"/>
  <c r="D5" i="9"/>
  <c r="F9" i="8"/>
  <c r="F10" i="8"/>
  <c r="F11" i="8"/>
  <c r="F12" i="8"/>
  <c r="G9" i="8"/>
  <c r="D6" i="9"/>
  <c r="E7" i="9"/>
  <c r="C7" i="9"/>
  <c r="H30" i="8"/>
  <c r="K30" i="8"/>
  <c r="F30" i="8"/>
  <c r="H31" i="8"/>
  <c r="K31" i="8"/>
  <c r="F31" i="8"/>
  <c r="G30" i="8"/>
  <c r="H28" i="8"/>
  <c r="K28" i="8"/>
  <c r="F28" i="8"/>
  <c r="H29" i="8"/>
  <c r="K29" i="8"/>
  <c r="F29" i="8"/>
  <c r="G28" i="8"/>
  <c r="C34" i="6"/>
  <c r="D34" i="6"/>
  <c r="C16" i="6"/>
  <c r="D16" i="6"/>
  <c r="D13" i="6"/>
  <c r="D20" i="6"/>
  <c r="D22" i="6"/>
  <c r="D23" i="6"/>
  <c r="D36" i="7"/>
  <c r="C36" i="7"/>
  <c r="C5" i="9"/>
  <c r="C6" i="9"/>
  <c r="C4" i="9"/>
  <c r="B4" i="9"/>
  <c r="E12" i="6"/>
  <c r="E13" i="6"/>
  <c r="E20" i="6"/>
  <c r="E22" i="6"/>
  <c r="E23" i="6"/>
  <c r="C13" i="6"/>
  <c r="C18" i="6"/>
  <c r="C20" i="6"/>
  <c r="C22" i="6"/>
  <c r="C23" i="6"/>
  <c r="K25" i="8"/>
  <c r="D17" i="7"/>
  <c r="D15" i="7"/>
  <c r="D18" i="7"/>
  <c r="D12" i="7"/>
  <c r="D34" i="7"/>
  <c r="D28" i="7"/>
  <c r="D30" i="7"/>
  <c r="C31" i="7"/>
  <c r="D31" i="7"/>
  <c r="C38" i="7"/>
  <c r="D38" i="7"/>
  <c r="D43" i="7"/>
  <c r="D45" i="7"/>
  <c r="D46" i="7"/>
  <c r="C34" i="7"/>
  <c r="C28" i="7"/>
  <c r="C30" i="7"/>
  <c r="C43" i="7"/>
  <c r="C45" i="7"/>
  <c r="C46" i="7"/>
  <c r="I14" i="7"/>
  <c r="I11" i="7"/>
  <c r="E5" i="9"/>
  <c r="E6" i="9"/>
  <c r="D25" i="7"/>
  <c r="C25" i="7"/>
  <c r="G9" i="7"/>
</calcChain>
</file>

<file path=xl/comments1.xml><?xml version="1.0" encoding="utf-8"?>
<comments xmlns="http://schemas.openxmlformats.org/spreadsheetml/2006/main">
  <authors>
    <author>Matthew Kudija</author>
  </authors>
  <commentList>
    <comment ref="F33" authorId="0">
      <text>
        <r>
          <rPr>
            <b/>
            <sz val="9"/>
            <color indexed="81"/>
            <rFont val="Arial"/>
          </rPr>
          <t>Matthew Kudija:</t>
        </r>
        <r>
          <rPr>
            <sz val="9"/>
            <color indexed="81"/>
            <rFont val="Arial"/>
          </rPr>
          <t xml:space="preserve">
http://www.terraexperience.com/guatemala_minimum_wage.htm</t>
        </r>
      </text>
    </comment>
  </commentList>
</comments>
</file>

<file path=xl/sharedStrings.xml><?xml version="1.0" encoding="utf-8"?>
<sst xmlns="http://schemas.openxmlformats.org/spreadsheetml/2006/main" count="247" uniqueCount="126">
  <si>
    <t>Chicakh</t>
  </si>
  <si>
    <t>SMALL FARMER AMARANTH INCOME STATEMENT</t>
  </si>
  <si>
    <t>INCOME</t>
  </si>
  <si>
    <t>Info/Comments</t>
  </si>
  <si>
    <t>EXPENSES</t>
  </si>
  <si>
    <t>Seed</t>
  </si>
  <si>
    <t>Fertilizer</t>
  </si>
  <si>
    <t>PROFIT</t>
  </si>
  <si>
    <t>Total Expenses</t>
  </si>
  <si>
    <t>Total Income</t>
  </si>
  <si>
    <t>Irrigation</t>
  </si>
  <si>
    <t>Worst Case</t>
  </si>
  <si>
    <t>Best Case</t>
  </si>
  <si>
    <t>AMARANTH ASSOCIATION INCOME STATEMENT</t>
  </si>
  <si>
    <t>Purchase Expense</t>
  </si>
  <si>
    <t>Transportation</t>
  </si>
  <si>
    <t>Packaging</t>
  </si>
  <si>
    <t>% Consumed</t>
  </si>
  <si>
    <t>Popped</t>
  </si>
  <si>
    <t>Flour</t>
  </si>
  <si>
    <t xml:space="preserve">   Amt. Sold (lb)</t>
  </si>
  <si>
    <t>Overhead</t>
  </si>
  <si>
    <r>
      <t xml:space="preserve">   Purchase Price</t>
    </r>
    <r>
      <rPr>
        <sz val="9"/>
        <color theme="1"/>
        <rFont val="Menlo Regular"/>
        <family val="2"/>
      </rPr>
      <t xml:space="preserve"> (GTQ/qq)</t>
    </r>
  </si>
  <si>
    <r>
      <t xml:space="preserve">   Purchase Amt.</t>
    </r>
    <r>
      <rPr>
        <sz val="9"/>
        <color theme="1"/>
        <rFont val="Menlo Regular"/>
        <family val="2"/>
      </rPr>
      <t xml:space="preserve"> (qq)</t>
    </r>
  </si>
  <si>
    <t>Yield (qq/cuerda)</t>
  </si>
  <si>
    <t>Amt. Cultivated (cuerdas)</t>
  </si>
  <si>
    <t>% Popped</t>
  </si>
  <si>
    <t>Alegria</t>
  </si>
  <si>
    <t>% Flour</t>
  </si>
  <si>
    <t>% Alegria</t>
  </si>
  <si>
    <t xml:space="preserve">   Lab Fees</t>
  </si>
  <si>
    <t>30-50 Q/qq to GC</t>
  </si>
  <si>
    <t xml:space="preserve">   Popper (depreciated 3 yr.)</t>
  </si>
  <si>
    <t>Per year</t>
  </si>
  <si>
    <t>12500 Q / 3 yr</t>
  </si>
  <si>
    <t># Members</t>
  </si>
  <si>
    <t>Membership fees (GTQ/yr)</t>
  </si>
  <si>
    <t xml:space="preserve">   Sale Price (GTQ/lb)</t>
  </si>
  <si>
    <t>Taxes</t>
  </si>
  <si>
    <t>GTQ/lb</t>
  </si>
  <si>
    <t>Source</t>
  </si>
  <si>
    <t>Lb</t>
  </si>
  <si>
    <t>GTQ</t>
  </si>
  <si>
    <t>Super Verduras</t>
  </si>
  <si>
    <t>ALEGRIA</t>
  </si>
  <si>
    <t>Chikach</t>
  </si>
  <si>
    <t>Value Chain</t>
  </si>
  <si>
    <t>Farmer</t>
  </si>
  <si>
    <t>Aggregator</t>
  </si>
  <si>
    <t>-</t>
  </si>
  <si>
    <t>Resale</t>
  </si>
  <si>
    <t>⇒</t>
  </si>
  <si>
    <t>per pound</t>
  </si>
  <si>
    <t>Cruda</t>
  </si>
  <si>
    <t>Harina</t>
  </si>
  <si>
    <t>Poporopo</t>
  </si>
  <si>
    <t>Artesano</t>
  </si>
  <si>
    <t>Artesano Store</t>
  </si>
  <si>
    <r>
      <rPr>
        <sz val="9"/>
        <color theme="1"/>
        <rFont val="Menlo Regular"/>
        <family val="2"/>
      </rPr>
      <t>Qachuu</t>
    </r>
    <r>
      <rPr>
        <sz val="9"/>
        <color theme="1"/>
        <rFont val="Menlo Regular"/>
        <family val="2"/>
      </rPr>
      <t xml:space="preserve"> Aloom</t>
    </r>
  </si>
  <si>
    <t>Kulb'aalib' Xe'chulub'</t>
  </si>
  <si>
    <t>Kuchub'al (Atitlan)</t>
  </si>
  <si>
    <t>Training</t>
  </si>
  <si>
    <t xml:space="preserve">   Marketing</t>
  </si>
  <si>
    <t>assumes once/mo, 30GTQ/person</t>
  </si>
  <si>
    <t>assume 17% tax rate</t>
  </si>
  <si>
    <t>PROFIT MARGIN</t>
  </si>
  <si>
    <t>GTQ/bar</t>
  </si>
  <si>
    <t>lb. am/bar</t>
  </si>
  <si>
    <t>g. am/bar</t>
  </si>
  <si>
    <t>End</t>
  </si>
  <si>
    <t>Averages</t>
  </si>
  <si>
    <t>Bars</t>
  </si>
  <si>
    <t>POPPED (POPOROPO)</t>
  </si>
  <si>
    <t>FLOUR (HARINA)</t>
  </si>
  <si>
    <t>AMARANTH</t>
  </si>
  <si>
    <t>CORN</t>
  </si>
  <si>
    <t>Sale Price (GTQ/qq)</t>
  </si>
  <si>
    <r>
      <t xml:space="preserve">   License</t>
    </r>
    <r>
      <rPr>
        <sz val="9"/>
        <color theme="1"/>
        <rFont val="Menlo Regular"/>
        <family val="2"/>
      </rPr>
      <t xml:space="preserve"> (depreciatd 3 yr.)</t>
    </r>
  </si>
  <si>
    <t xml:space="preserve">   Building Maintenance</t>
  </si>
  <si>
    <t xml:space="preserve">   Utilities</t>
  </si>
  <si>
    <t>Typical</t>
  </si>
  <si>
    <t>Popped (poporopo)</t>
  </si>
  <si>
    <t>Flour (harina)</t>
  </si>
  <si>
    <r>
      <t>Units</t>
    </r>
    <r>
      <rPr>
        <sz val="9"/>
        <color theme="1"/>
        <rFont val="Menlo Regular"/>
        <family val="2"/>
      </rPr>
      <t xml:space="preserve"> Sold</t>
    </r>
    <r>
      <rPr>
        <sz val="9"/>
        <color theme="1"/>
        <rFont val="Menlo Regular"/>
        <family val="2"/>
      </rPr>
      <t xml:space="preserve"> (assume 1 lb)</t>
    </r>
  </si>
  <si>
    <t>Assn.</t>
  </si>
  <si>
    <t xml:space="preserve">This income statement template is a guide for analyzing the </t>
  </si>
  <si>
    <t>economic feasibility of amaranth production for an individual</t>
  </si>
  <si>
    <t>farming family.</t>
  </si>
  <si>
    <t>Sale Prices To Final Customer</t>
  </si>
  <si>
    <t>economic performance of an amaranth growing association.</t>
  </si>
  <si>
    <t>GTQ/day</t>
  </si>
  <si>
    <t>hr/day</t>
  </si>
  <si>
    <t>GTQ/hr</t>
  </si>
  <si>
    <r>
      <t>g</t>
    </r>
    <r>
      <rPr>
        <sz val="9"/>
        <color theme="1"/>
        <rFont val="Menlo Regular"/>
        <family val="2"/>
      </rPr>
      <t xml:space="preserve"> </t>
    </r>
    <r>
      <rPr>
        <sz val="9"/>
        <color theme="1"/>
        <rFont val="Menlo Regular"/>
        <family val="2"/>
      </rPr>
      <t>=</t>
    </r>
    <r>
      <rPr>
        <sz val="9"/>
        <color theme="1"/>
        <rFont val="Menlo Regular"/>
        <family val="2"/>
      </rPr>
      <t xml:space="preserve"> </t>
    </r>
    <r>
      <rPr>
        <sz val="9"/>
        <color theme="1"/>
        <rFont val="Menlo Regular"/>
        <family val="2"/>
      </rPr>
      <t>2.2</t>
    </r>
    <r>
      <rPr>
        <sz val="9"/>
        <color theme="1"/>
        <rFont val="Menlo Regular"/>
        <family val="2"/>
      </rPr>
      <t xml:space="preserve"> </t>
    </r>
    <r>
      <rPr>
        <sz val="9"/>
        <color theme="1"/>
        <rFont val="Menlo Regular"/>
        <family val="2"/>
      </rPr>
      <t>lb</t>
    </r>
  </si>
  <si>
    <r>
      <t xml:space="preserve">g = </t>
    </r>
    <r>
      <rPr>
        <sz val="9"/>
        <color theme="1"/>
        <rFont val="Menlo Regular"/>
        <family val="2"/>
      </rPr>
      <t>1.0</t>
    </r>
    <r>
      <rPr>
        <sz val="9"/>
        <color theme="1"/>
        <rFont val="Menlo Regular"/>
        <family val="2"/>
      </rPr>
      <t xml:space="preserve"> lb</t>
    </r>
  </si>
  <si>
    <t>Year 1</t>
  </si>
  <si>
    <t>Year 2</t>
  </si>
  <si>
    <t>Year 3</t>
  </si>
  <si>
    <t>Year 4</t>
  </si>
  <si>
    <t>Year 5</t>
  </si>
  <si>
    <t>Estimate: must be calculated for specific association</t>
  </si>
  <si>
    <r>
      <rPr>
        <sz val="9"/>
        <color theme="1"/>
        <rFont val="Menlo Regular"/>
        <family val="2"/>
      </rPr>
      <t>Estimate: assumes</t>
    </r>
    <r>
      <rPr>
        <sz val="9"/>
        <color theme="1"/>
        <rFont val="Menlo Regular"/>
        <family val="2"/>
      </rPr>
      <t xml:space="preserve"> 3.125 lb/hr</t>
    </r>
    <r>
      <rPr>
        <sz val="9"/>
        <color theme="1"/>
        <rFont val="Menlo Regular"/>
        <family val="2"/>
      </rPr>
      <t>;</t>
    </r>
    <r>
      <rPr>
        <sz val="9"/>
        <color theme="1"/>
        <rFont val="Menlo Regular"/>
        <family val="2"/>
      </rPr>
      <t xml:space="preserve"> labor rate</t>
    </r>
    <r>
      <rPr>
        <sz val="9"/>
        <color theme="1"/>
        <rFont val="Menlo Regular"/>
        <family val="2"/>
      </rPr>
      <t xml:space="preserve"> of</t>
    </r>
    <r>
      <rPr>
        <sz val="9"/>
        <color theme="1"/>
        <rFont val="Menlo Regular"/>
        <family val="2"/>
      </rPr>
      <t xml:space="preserve"> 12.5 GTQ/hr assuming 100 GTQ/day</t>
    </r>
  </si>
  <si>
    <t>Processing Labor</t>
  </si>
  <si>
    <t>Association Staff Salaries</t>
  </si>
  <si>
    <t>annual increase in amount bought/sold and number of members</t>
  </si>
  <si>
    <t>Inputs</t>
  </si>
  <si>
    <t>*assumes additional staff added in year 3</t>
  </si>
  <si>
    <t>AMARANTH ASSOCIATION INCOME STATEMENT (5-YEAR PROJECTION)</t>
  </si>
  <si>
    <t>This income statement template is a guide for analyzing the projected economic performance of an</t>
  </si>
  <si>
    <t>association over a 5-year period.</t>
  </si>
  <si>
    <t>SMALL FARMER AMARANTH INCOME STATEMENT (5-YEAR PROJECTION)</t>
  </si>
  <si>
    <r>
      <t xml:space="preserve">This income statement template is a guide for analyzing the </t>
    </r>
    <r>
      <rPr>
        <sz val="9"/>
        <color theme="1"/>
        <rFont val="Menlo Regular"/>
        <family val="2"/>
      </rPr>
      <t xml:space="preserve">projected economic </t>
    </r>
  </si>
  <si>
    <t>performance of a small farmer growing amaranth.</t>
  </si>
  <si>
    <t>annual inflation (price &amp; expenses)</t>
  </si>
  <si>
    <t>GUATEMALA AMARANTH STUDY</t>
  </si>
  <si>
    <t>"Income Statement Templates.xlsx"</t>
  </si>
  <si>
    <t>Prepared for Catholic Relief Services by University of Notre Dame BOTFL</t>
  </si>
  <si>
    <t>Other</t>
  </si>
  <si>
    <t>NGO Grants</t>
  </si>
  <si>
    <r>
      <rPr>
        <b/>
        <u/>
        <sz val="12"/>
        <color theme="1"/>
        <rFont val="Calibri"/>
      </rPr>
      <t>SHEET 2</t>
    </r>
    <r>
      <rPr>
        <sz val="12"/>
        <color theme="1"/>
        <rFont val="Calibri"/>
      </rPr>
      <t xml:space="preserve"> is a projected income statement for a small farmer growing amaranth, giving income and expenses to yield the profitability of doing so. The best case assumes values on the more favorable end of the spectrum, while the worst case assumes values on the less favorable end of the spectrum. We recommend using actual values for sale prices, yields, costs, and percentage of amaranth consumed in a particular region.</t>
    </r>
  </si>
  <si>
    <r>
      <rPr>
        <b/>
        <u/>
        <sz val="12"/>
        <color theme="1"/>
        <rFont val="Calibri"/>
      </rPr>
      <t>SHEET 3</t>
    </r>
    <r>
      <rPr>
        <sz val="12"/>
        <color theme="1"/>
        <rFont val="Calibri"/>
      </rPr>
      <t xml:space="preserve"> takes the baseline case of the small farmer income statement and projects profits over five years. This assumes growth in the amount of land cultivated, with a corresponding decrease in the percentage of harvest consumed by the family. Inflation rate is an input, highlighted in green. </t>
    </r>
  </si>
  <si>
    <r>
      <rPr>
        <b/>
        <u/>
        <sz val="12"/>
        <color theme="1"/>
        <rFont val="Calibri"/>
      </rPr>
      <t>SHEET 4</t>
    </r>
    <r>
      <rPr>
        <sz val="12"/>
        <color theme="1"/>
        <rFont val="Calibri"/>
      </rPr>
      <t xml:space="preserve"> is a projected income statement for an amaranth growing association, giving income and expenses to yield the profitability of the operation. The best case assumes values on the more favorable end of the spectrum, while the worst case assumes values on the less favorable end of the spectrum. All income and costs are estimated, either from field or secondary research, requiring a careful analysis of actual sources of income and costs for a particular association to give an accuracte representation of its financial performance.</t>
    </r>
  </si>
  <si>
    <r>
      <rPr>
        <b/>
        <u/>
        <sz val="12"/>
        <color theme="1"/>
        <rFont val="Calibri"/>
      </rPr>
      <t>SHEET 5</t>
    </r>
    <r>
      <rPr>
        <sz val="12"/>
        <color theme="1"/>
        <rFont val="Calibri"/>
      </rPr>
      <t xml:space="preserve"> takes the baseline case of the association income statement and projects profits over five years. Standard rates of inflation and growth, which can be changed as inputs (highlighted in green).  </t>
    </r>
  </si>
  <si>
    <r>
      <rPr>
        <b/>
        <u/>
        <sz val="12"/>
        <color theme="1"/>
        <rFont val="Calibri"/>
      </rPr>
      <t>SHEET 6</t>
    </r>
    <r>
      <rPr>
        <sz val="12"/>
        <color theme="1"/>
        <rFont val="Calibri"/>
      </rPr>
      <t xml:space="preserve"> summarizes sale price data from the Notre Dame BOTFL research trip to Guatemala in March 2014. These prices are aggregated and built into the projected income statements.  </t>
    </r>
  </si>
  <si>
    <r>
      <rPr>
        <b/>
        <u/>
        <sz val="12"/>
        <color theme="1"/>
        <rFont val="Calibri"/>
      </rPr>
      <t>SHEET 7</t>
    </r>
    <r>
      <rPr>
        <sz val="12"/>
        <color theme="1"/>
        <rFont val="Calibri"/>
      </rPr>
      <t xml:space="preserve"> aggregates the sale price data to examine the value added by each step in the value chain.   </t>
    </r>
  </si>
  <si>
    <t>This spreadsheet provides data and templates for financial analysis of amaranth production in Guatemala. We focus on: 1) small farmers, and 2) amaranth growing associations.  These spreadsheets supplement the written deliverables prepared for CRS which include a business plan for both a small farmer and growing association. Cells with formulas are locked to prevent accidental overwrite, but can be diabled if desired. Below is a list of sheets included with description and instructions. For additional information, contact Notre Dame BOTFL at BOTFL@ND.EDU or EBLOCK1@ND.EDU.</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</si>
</sst>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quot;$&quot;* #,##0.00_);_(&quot;$&quot;* \(#,##0.00\);_(&quot;$&quot;* &quot;-&quot;??_);_(@_)"/>
    <numFmt numFmtId="164" formatCode="_ * #,##0_)[$GTQ-486]_ ;_ * \(#,##0\)[$GTQ-486]_ ;_ * &quot;-&quot;_)[$GTQ-486]_ ;_ @_ "/>
    <numFmt numFmtId="165" formatCode="0.0"/>
    <numFmt numFmtId="166" formatCode="_(&quot;$&quot;* #,##0_);_(&quot;$&quot;* \(#,##0\);_(&quot;$&quot;* &quot;-&quot;??_);_(@_)"/>
    <numFmt numFmtId="167" formatCode="_([$GTQ]\ * #,##0.00_);_([$GTQ]\ * \(#,##0.00\);_([$GTQ]\ * &quot;-&quot;??_);_(@_)"/>
    <numFmt numFmtId="168" formatCode="_ * #,##0_)[$GTQ-486]_ ;_ * \(#,##0\)[$GTQ-486]_ ;_ * &quot;-&quot;??_)[$GTQ-486]_ ;_ @_ "/>
    <numFmt numFmtId="169" formatCode="0.000"/>
    <numFmt numFmtId="170" formatCode="#,##0.00[$GTQ-486]"/>
    <numFmt numFmtId="173" formatCode="#,##0[$GTQ-486]"/>
  </numFmts>
  <fonts count="29" x14ac:knownFonts="1">
    <font>
      <sz val="10"/>
      <color indexed="8"/>
      <name val="Arial"/>
    </font>
    <font>
      <sz val="9"/>
      <color theme="1"/>
      <name val="Menlo Regular"/>
      <family val="2"/>
    </font>
    <font>
      <sz val="9"/>
      <color theme="1"/>
      <name val="Menlo Regular"/>
      <family val="2"/>
    </font>
    <font>
      <sz val="9"/>
      <color theme="1"/>
      <name val="Menlo Regular"/>
      <family val="2"/>
      <charset val="129"/>
    </font>
    <font>
      <sz val="9"/>
      <color theme="1"/>
      <name val="Menlo Regular"/>
      <family val="2"/>
    </font>
    <font>
      <sz val="9"/>
      <color theme="1"/>
      <name val="Menlo Regular"/>
      <family val="2"/>
    </font>
    <font>
      <sz val="9"/>
      <color theme="1"/>
      <name val="Menlo Regular"/>
      <family val="2"/>
    </font>
    <font>
      <sz val="9"/>
      <color indexed="8"/>
      <name val="Menlo Regular"/>
      <family val="2"/>
    </font>
    <font>
      <b/>
      <sz val="9"/>
      <color indexed="8"/>
      <name val="Menlo Regular"/>
      <family val="2"/>
    </font>
    <font>
      <u/>
      <sz val="10"/>
      <color indexed="12"/>
      <name val="Arial"/>
    </font>
    <font>
      <u/>
      <sz val="10"/>
      <color indexed="20"/>
      <name val="Arial"/>
    </font>
    <font>
      <sz val="10"/>
      <color indexed="8"/>
      <name val="Arial"/>
    </font>
    <font>
      <b/>
      <sz val="9"/>
      <color theme="1"/>
      <name val="Menlo Regular"/>
      <family val="2"/>
    </font>
    <font>
      <i/>
      <sz val="9"/>
      <color theme="1"/>
      <name val="Menlo Regular"/>
    </font>
    <font>
      <b/>
      <i/>
      <sz val="9"/>
      <color theme="1"/>
      <name val="Menlo Regular"/>
    </font>
    <font>
      <u/>
      <sz val="10"/>
      <color theme="10"/>
      <name val="Arial"/>
    </font>
    <font>
      <u/>
      <sz val="10"/>
      <color theme="11"/>
      <name val="Arial"/>
    </font>
    <font>
      <b/>
      <u/>
      <sz val="9"/>
      <color theme="1"/>
      <name val="Menlo Regular"/>
    </font>
    <font>
      <u/>
      <sz val="9"/>
      <color theme="1"/>
      <name val="Menlo Regular"/>
    </font>
    <font>
      <b/>
      <sz val="12"/>
      <color theme="1"/>
      <name val="Menlo Regular"/>
    </font>
    <font>
      <b/>
      <sz val="9"/>
      <color rgb="FF000000"/>
      <name val="Menlo Regular"/>
      <family val="2"/>
    </font>
    <font>
      <sz val="9"/>
      <color indexed="81"/>
      <name val="Arial"/>
    </font>
    <font>
      <b/>
      <sz val="9"/>
      <color indexed="81"/>
      <name val="Arial"/>
    </font>
    <font>
      <b/>
      <sz val="20"/>
      <color theme="1"/>
      <name val="Calibri"/>
    </font>
    <font>
      <sz val="9"/>
      <color theme="1"/>
      <name val="Calibri"/>
    </font>
    <font>
      <sz val="18"/>
      <color theme="1"/>
      <name val="Calibri"/>
    </font>
    <font>
      <i/>
      <sz val="12"/>
      <color theme="1"/>
      <name val="Calibri"/>
    </font>
    <font>
      <sz val="12"/>
      <color theme="1"/>
      <name val="Calibri"/>
    </font>
    <font>
      <b/>
      <u/>
      <sz val="12"/>
      <color theme="1"/>
      <name val="Calibri"/>
    </font>
  </fonts>
  <fills count="7">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
      <patternFill patternType="solid">
        <fgColor theme="4" tint="0.59999389629810485"/>
        <bgColor indexed="64"/>
      </patternFill>
    </fill>
    <fill>
      <patternFill patternType="solid">
        <fgColor theme="0"/>
        <bgColor indexed="64"/>
      </patternFill>
    </fill>
    <fill>
      <patternFill patternType="solid">
        <fgColor theme="6" tint="0.59999389629810485"/>
        <bgColor indexed="64"/>
      </patternFill>
    </fill>
  </fills>
  <borders count="18">
    <border>
      <left/>
      <right/>
      <top/>
      <bottom/>
      <diagonal/>
    </border>
    <border>
      <left/>
      <right/>
      <top style="thin">
        <color auto="1"/>
      </top>
      <bottom style="double">
        <color auto="1"/>
      </bottom>
      <diagonal/>
    </border>
    <border>
      <left/>
      <right/>
      <top style="thin">
        <color auto="1"/>
      </top>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double">
        <color auto="1"/>
      </bottom>
      <diagonal/>
    </border>
    <border>
      <left/>
      <right style="thin">
        <color auto="1"/>
      </right>
      <top style="thin">
        <color auto="1"/>
      </top>
      <bottom style="double">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bottom style="thin">
        <color auto="1"/>
      </bottom>
      <diagonal/>
    </border>
    <border>
      <left style="thin">
        <color auto="1"/>
      </left>
      <right/>
      <top/>
      <bottom/>
      <diagonal/>
    </border>
    <border>
      <left style="thin">
        <color auto="1"/>
      </left>
      <right/>
      <top style="thin">
        <color auto="1"/>
      </top>
      <bottom/>
      <diagonal/>
    </border>
    <border>
      <left/>
      <right/>
      <top/>
      <bottom style="thin">
        <color auto="1"/>
      </bottom>
      <diagonal/>
    </border>
    <border>
      <left style="thin">
        <color auto="1"/>
      </left>
      <right style="thin">
        <color auto="1"/>
      </right>
      <top/>
      <bottom style="thin">
        <color auto="1"/>
      </bottom>
      <diagonal/>
    </border>
  </borders>
  <cellStyleXfs count="316">
    <xf numFmtId="0" fontId="0" fillId="0" borderId="0"/>
    <xf numFmtId="0" fontId="7" fillId="0" borderId="0"/>
    <xf numFmtId="0" fontId="9" fillId="0" borderId="0" applyNumberFormat="0" applyFill="0" applyBorder="0" applyAlignment="0" applyProtection="0"/>
    <xf numFmtId="0" fontId="10" fillId="0" borderId="0" applyNumberFormat="0" applyFill="0" applyBorder="0" applyAlignment="0" applyProtection="0"/>
    <xf numFmtId="44" fontId="11" fillId="0" borderId="0" applyFont="0" applyFill="0" applyBorder="0" applyAlignment="0" applyProtection="0"/>
    <xf numFmtId="0" fontId="6"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9" fontId="11"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5"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4"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212">
    <xf numFmtId="0" fontId="0" fillId="0" borderId="0" xfId="0" applyAlignment="1">
      <alignment wrapText="1"/>
    </xf>
    <xf numFmtId="0" fontId="5" fillId="0" borderId="0" xfId="49"/>
    <xf numFmtId="0" fontId="12" fillId="0" borderId="0" xfId="49" applyFont="1"/>
    <xf numFmtId="0" fontId="5" fillId="0" borderId="0" xfId="49" applyAlignment="1">
      <alignment horizontal="center"/>
    </xf>
    <xf numFmtId="9" fontId="5" fillId="0" borderId="0" xfId="18" applyFont="1"/>
    <xf numFmtId="0" fontId="4" fillId="0" borderId="0" xfId="80"/>
    <xf numFmtId="167" fontId="4" fillId="0" borderId="0" xfId="80" quotePrefix="1" applyNumberFormat="1" applyAlignment="1">
      <alignment horizontal="center"/>
    </xf>
    <xf numFmtId="0" fontId="4" fillId="0" borderId="0" xfId="80" applyAlignment="1">
      <alignment horizontal="center"/>
    </xf>
    <xf numFmtId="167" fontId="4" fillId="0" borderId="0" xfId="80" applyNumberFormat="1" applyAlignment="1">
      <alignment horizontal="center"/>
    </xf>
    <xf numFmtId="9" fontId="4" fillId="0" borderId="0" xfId="18" applyFont="1" applyAlignment="1">
      <alignment horizontal="center"/>
    </xf>
    <xf numFmtId="0" fontId="12" fillId="0" borderId="0" xfId="80" applyFont="1" applyAlignment="1">
      <alignment horizontal="center"/>
    </xf>
    <xf numFmtId="9" fontId="4" fillId="0" borderId="0" xfId="18" quotePrefix="1" applyFont="1" applyAlignment="1">
      <alignment horizontal="center"/>
    </xf>
    <xf numFmtId="9" fontId="19" fillId="0" borderId="0" xfId="18" applyFont="1" applyAlignment="1">
      <alignment horizontal="center"/>
    </xf>
    <xf numFmtId="0" fontId="13" fillId="0" borderId="0" xfId="80" applyFont="1"/>
    <xf numFmtId="0" fontId="4" fillId="0" borderId="0" xfId="49" applyFont="1"/>
    <xf numFmtId="0" fontId="4" fillId="0" borderId="0" xfId="49" applyFont="1" applyAlignment="1">
      <alignment horizontal="center"/>
    </xf>
    <xf numFmtId="169" fontId="4" fillId="0" borderId="0" xfId="49" applyNumberFormat="1" applyFont="1"/>
    <xf numFmtId="0" fontId="12" fillId="0" borderId="0" xfId="49" applyFont="1" applyAlignment="1">
      <alignment vertical="center" textRotation="90"/>
    </xf>
    <xf numFmtId="0" fontId="5" fillId="0" borderId="0" xfId="49" applyBorder="1" applyAlignment="1">
      <alignment horizontal="center"/>
    </xf>
    <xf numFmtId="0" fontId="5" fillId="0" borderId="2" xfId="49" applyBorder="1" applyAlignment="1">
      <alignment horizontal="center"/>
    </xf>
    <xf numFmtId="0" fontId="5" fillId="0" borderId="11" xfId="49" applyBorder="1"/>
    <xf numFmtId="0" fontId="5" fillId="0" borderId="12" xfId="49" applyBorder="1"/>
    <xf numFmtId="2" fontId="5" fillId="0" borderId="4" xfId="49" applyNumberFormat="1" applyBorder="1" applyAlignment="1">
      <alignment horizontal="center"/>
    </xf>
    <xf numFmtId="2" fontId="5" fillId="0" borderId="13" xfId="49" applyNumberFormat="1" applyBorder="1" applyAlignment="1">
      <alignment horizontal="center"/>
    </xf>
    <xf numFmtId="0" fontId="4" fillId="0" borderId="11" xfId="49" applyFont="1" applyBorder="1"/>
    <xf numFmtId="0" fontId="4" fillId="0" borderId="12" xfId="49" applyFont="1" applyBorder="1"/>
    <xf numFmtId="0" fontId="4" fillId="0" borderId="17" xfId="49" applyFont="1" applyBorder="1"/>
    <xf numFmtId="2" fontId="5" fillId="0" borderId="2" xfId="49" applyNumberFormat="1" applyBorder="1" applyAlignment="1">
      <alignment horizontal="center"/>
    </xf>
    <xf numFmtId="2" fontId="5" fillId="0" borderId="0" xfId="49" applyNumberFormat="1" applyBorder="1" applyAlignment="1">
      <alignment horizontal="center"/>
    </xf>
    <xf numFmtId="2" fontId="5" fillId="0" borderId="16" xfId="49" applyNumberFormat="1" applyBorder="1" applyAlignment="1">
      <alignment horizontal="center"/>
    </xf>
    <xf numFmtId="165" fontId="5" fillId="0" borderId="0" xfId="49" applyNumberFormat="1" applyBorder="1" applyAlignment="1">
      <alignment horizontal="center"/>
    </xf>
    <xf numFmtId="165" fontId="5" fillId="0" borderId="2" xfId="49" applyNumberFormat="1" applyBorder="1" applyAlignment="1">
      <alignment horizontal="center"/>
    </xf>
    <xf numFmtId="165" fontId="5" fillId="0" borderId="16" xfId="49" applyNumberFormat="1" applyBorder="1" applyAlignment="1">
      <alignment horizontal="center"/>
    </xf>
    <xf numFmtId="2" fontId="5" fillId="0" borderId="5" xfId="49" applyNumberFormat="1" applyBorder="1" applyAlignment="1">
      <alignment horizontal="center"/>
    </xf>
    <xf numFmtId="1" fontId="5" fillId="0" borderId="2" xfId="49" applyNumberFormat="1" applyBorder="1" applyAlignment="1">
      <alignment horizontal="center"/>
    </xf>
    <xf numFmtId="1" fontId="5" fillId="0" borderId="16" xfId="49" applyNumberFormat="1" applyBorder="1" applyAlignment="1">
      <alignment horizontal="center"/>
    </xf>
    <xf numFmtId="2" fontId="5" fillId="0" borderId="0" xfId="49" applyNumberFormat="1" applyAlignment="1">
      <alignment horizontal="center" vertical="center"/>
    </xf>
    <xf numFmtId="0" fontId="12" fillId="2" borderId="3" xfId="49" applyFont="1" applyFill="1" applyBorder="1"/>
    <xf numFmtId="0" fontId="12" fillId="2" borderId="3" xfId="49" applyFont="1" applyFill="1" applyBorder="1" applyAlignment="1">
      <alignment horizontal="center"/>
    </xf>
    <xf numFmtId="0" fontId="12" fillId="2" borderId="3" xfId="49" applyFont="1" applyFill="1" applyBorder="1" applyAlignment="1">
      <alignment horizontal="center" vertical="center"/>
    </xf>
    <xf numFmtId="2" fontId="12" fillId="0" borderId="0" xfId="49" applyNumberFormat="1" applyFont="1" applyAlignment="1">
      <alignment horizontal="center" vertical="center"/>
    </xf>
    <xf numFmtId="165" fontId="5" fillId="0" borderId="0" xfId="49" applyNumberFormat="1" applyAlignment="1">
      <alignment horizontal="center"/>
    </xf>
    <xf numFmtId="0" fontId="12" fillId="2" borderId="3" xfId="49" applyFont="1" applyFill="1" applyBorder="1" applyAlignment="1">
      <alignment horizontal="left"/>
    </xf>
    <xf numFmtId="2" fontId="12" fillId="0" borderId="11" xfId="49" applyNumberFormat="1" applyFont="1" applyBorder="1" applyAlignment="1">
      <alignment horizontal="center" vertical="center"/>
    </xf>
    <xf numFmtId="2" fontId="12" fillId="0" borderId="12" xfId="49" applyNumberFormat="1" applyFont="1" applyBorder="1" applyAlignment="1">
      <alignment horizontal="center"/>
    </xf>
    <xf numFmtId="2" fontId="12" fillId="0" borderId="17" xfId="49" applyNumberFormat="1" applyFont="1" applyBorder="1" applyAlignment="1">
      <alignment horizontal="center"/>
    </xf>
    <xf numFmtId="0" fontId="12" fillId="4" borderId="15" xfId="49" applyFont="1" applyFill="1" applyBorder="1" applyAlignment="1">
      <alignment horizontal="center"/>
    </xf>
    <xf numFmtId="0" fontId="12" fillId="4" borderId="2" xfId="49" applyFont="1" applyFill="1" applyBorder="1" applyAlignment="1">
      <alignment horizontal="center"/>
    </xf>
    <xf numFmtId="0" fontId="12" fillId="4" borderId="4" xfId="49" applyFont="1" applyFill="1" applyBorder="1" applyAlignment="1">
      <alignment horizontal="center"/>
    </xf>
    <xf numFmtId="0" fontId="12" fillId="0" borderId="12" xfId="49" applyFont="1" applyBorder="1" applyAlignment="1">
      <alignment horizontal="center" vertical="center"/>
    </xf>
    <xf numFmtId="2" fontId="12" fillId="0" borderId="17" xfId="49" applyNumberFormat="1" applyFont="1" applyBorder="1" applyAlignment="1">
      <alignment horizontal="center" vertical="center"/>
    </xf>
    <xf numFmtId="0" fontId="12" fillId="0" borderId="11" xfId="49" applyFont="1" applyBorder="1" applyAlignment="1">
      <alignment horizontal="center" vertical="center" textRotation="90"/>
    </xf>
    <xf numFmtId="0" fontId="12" fillId="0" borderId="17" xfId="49" applyFont="1" applyBorder="1" applyAlignment="1">
      <alignment horizontal="center" vertical="center" textRotation="90"/>
    </xf>
    <xf numFmtId="0" fontId="20" fillId="0" borderId="3" xfId="0" applyFont="1" applyBorder="1" applyAlignment="1">
      <alignment horizontal="center" vertical="center" textRotation="90"/>
    </xf>
    <xf numFmtId="0" fontId="12" fillId="4" borderId="3" xfId="49" applyFont="1" applyFill="1" applyBorder="1" applyAlignment="1">
      <alignment horizontal="center"/>
    </xf>
    <xf numFmtId="0" fontId="12" fillId="4" borderId="3" xfId="49" applyFont="1" applyFill="1" applyBorder="1" applyAlignment="1">
      <alignment horizontal="center" vertical="center"/>
    </xf>
    <xf numFmtId="2" fontId="12" fillId="0" borderId="12" xfId="49" applyNumberFormat="1" applyFont="1" applyBorder="1" applyAlignment="1">
      <alignment horizontal="center" vertical="center"/>
    </xf>
    <xf numFmtId="0" fontId="12" fillId="0" borderId="3" xfId="49" applyFont="1" applyBorder="1" applyAlignment="1">
      <alignment horizontal="center" vertical="center" textRotation="90"/>
    </xf>
    <xf numFmtId="0" fontId="1" fillId="0" borderId="0" xfId="49" applyFont="1"/>
    <xf numFmtId="1" fontId="4" fillId="0" borderId="0" xfId="49" applyNumberFormat="1" applyFont="1"/>
    <xf numFmtId="0" fontId="23" fillId="0" borderId="0" xfId="299" applyFont="1" applyAlignment="1">
      <alignment horizontal="center" vertical="center"/>
    </xf>
    <xf numFmtId="0" fontId="24" fillId="0" borderId="0" xfId="299" applyFont="1"/>
    <xf numFmtId="0" fontId="24" fillId="0" borderId="0" xfId="299" applyFont="1" applyAlignment="1">
      <alignment wrapText="1"/>
    </xf>
    <xf numFmtId="0" fontId="25" fillId="0" borderId="0" xfId="299" applyFont="1" applyAlignment="1">
      <alignment horizontal="center" vertical="center"/>
    </xf>
    <xf numFmtId="0" fontId="26" fillId="0" borderId="0" xfId="299" applyFont="1" applyAlignment="1">
      <alignment horizontal="center" vertical="center"/>
    </xf>
    <xf numFmtId="0" fontId="27" fillId="0" borderId="0" xfId="299" applyFont="1"/>
    <xf numFmtId="49" fontId="27" fillId="0" borderId="0" xfId="299" applyNumberFormat="1" applyFont="1" applyAlignment="1">
      <alignment wrapText="1"/>
    </xf>
    <xf numFmtId="0" fontId="27" fillId="0" borderId="0" xfId="299" applyFont="1" applyAlignment="1">
      <alignment wrapText="1"/>
    </xf>
    <xf numFmtId="0" fontId="7" fillId="0" borderId="0" xfId="0" applyFont="1" applyAlignment="1" applyProtection="1">
      <alignment wrapText="1"/>
      <protection locked="0"/>
    </xf>
    <xf numFmtId="0" fontId="4" fillId="0" borderId="0" xfId="5" applyFont="1" applyProtection="1">
      <protection locked="0"/>
    </xf>
    <xf numFmtId="0" fontId="12" fillId="0" borderId="0" xfId="5" applyFont="1" applyProtection="1">
      <protection locked="0"/>
    </xf>
    <xf numFmtId="0" fontId="4" fillId="2" borderId="11" xfId="5" applyFont="1" applyFill="1" applyBorder="1" applyProtection="1">
      <protection locked="0"/>
    </xf>
    <xf numFmtId="0" fontId="4" fillId="2" borderId="4" xfId="5" applyFont="1" applyFill="1" applyBorder="1" applyProtection="1">
      <protection locked="0"/>
    </xf>
    <xf numFmtId="0" fontId="4" fillId="0" borderId="12" xfId="5" applyFont="1" applyBorder="1" applyProtection="1">
      <protection locked="0"/>
    </xf>
    <xf numFmtId="0" fontId="4" fillId="0" borderId="5" xfId="5" applyFont="1" applyBorder="1" applyProtection="1">
      <protection locked="0"/>
    </xf>
    <xf numFmtId="9" fontId="4" fillId="0" borderId="12" xfId="5" applyNumberFormat="1" applyFont="1" applyBorder="1" applyProtection="1">
      <protection locked="0"/>
    </xf>
    <xf numFmtId="9" fontId="4" fillId="0" borderId="5" xfId="5" applyNumberFormat="1" applyFont="1" applyBorder="1" applyProtection="1">
      <protection locked="0"/>
    </xf>
    <xf numFmtId="0" fontId="4" fillId="2" borderId="12" xfId="5" applyFont="1" applyFill="1" applyBorder="1" applyProtection="1">
      <protection locked="0"/>
    </xf>
    <xf numFmtId="0" fontId="4" fillId="2" borderId="5" xfId="5" applyFont="1" applyFill="1" applyBorder="1" applyProtection="1">
      <protection locked="0"/>
    </xf>
    <xf numFmtId="164" fontId="4" fillId="0" borderId="12" xfId="4" applyNumberFormat="1" applyFont="1" applyBorder="1" applyProtection="1">
      <protection locked="0"/>
    </xf>
    <xf numFmtId="164" fontId="4" fillId="0" borderId="5" xfId="4" applyNumberFormat="1" applyFont="1" applyBorder="1" applyProtection="1">
      <protection locked="0"/>
    </xf>
    <xf numFmtId="0" fontId="4" fillId="0" borderId="5" xfId="5" applyFont="1" applyFill="1" applyBorder="1" applyProtection="1">
      <protection locked="0"/>
    </xf>
    <xf numFmtId="2" fontId="4" fillId="0" borderId="0" xfId="5" applyNumberFormat="1" applyFont="1" applyProtection="1">
      <protection locked="0"/>
    </xf>
    <xf numFmtId="164" fontId="4" fillId="0" borderId="3" xfId="4" applyNumberFormat="1" applyFont="1" applyBorder="1" applyProtection="1"/>
    <xf numFmtId="164" fontId="4" fillId="0" borderId="8" xfId="4" applyNumberFormat="1" applyFont="1" applyBorder="1" applyProtection="1"/>
    <xf numFmtId="164" fontId="4" fillId="0" borderId="12" xfId="4" applyNumberFormat="1" applyFont="1" applyBorder="1" applyProtection="1"/>
    <xf numFmtId="164" fontId="4" fillId="0" borderId="5" xfId="4" applyNumberFormat="1" applyFont="1" applyBorder="1" applyProtection="1"/>
    <xf numFmtId="164" fontId="12" fillId="3" borderId="9" xfId="4" applyNumberFormat="1" applyFont="1" applyFill="1" applyBorder="1" applyProtection="1"/>
    <xf numFmtId="164" fontId="12" fillId="3" borderId="10" xfId="4" applyNumberFormat="1" applyFont="1" applyFill="1" applyBorder="1" applyProtection="1"/>
    <xf numFmtId="9" fontId="4" fillId="0" borderId="3" xfId="18" applyFont="1" applyBorder="1" applyProtection="1"/>
    <xf numFmtId="9" fontId="4" fillId="0" borderId="8" xfId="18" applyFont="1" applyBorder="1" applyProtection="1"/>
    <xf numFmtId="0" fontId="4" fillId="0" borderId="0" xfId="5" applyFont="1" applyProtection="1"/>
    <xf numFmtId="0" fontId="17" fillId="2" borderId="11" xfId="5" applyFont="1" applyFill="1" applyBorder="1" applyProtection="1"/>
    <xf numFmtId="0" fontId="4" fillId="0" borderId="12" xfId="5" applyFont="1" applyBorder="1" applyProtection="1"/>
    <xf numFmtId="0" fontId="12" fillId="3" borderId="3" xfId="5" applyFont="1" applyFill="1" applyBorder="1" applyProtection="1"/>
    <xf numFmtId="164" fontId="4" fillId="3" borderId="3" xfId="4" applyNumberFormat="1" applyFont="1" applyFill="1" applyBorder="1" applyProtection="1"/>
    <xf numFmtId="164" fontId="4" fillId="3" borderId="8" xfId="4" applyNumberFormat="1" applyFont="1" applyFill="1" applyBorder="1" applyProtection="1"/>
    <xf numFmtId="0" fontId="12" fillId="0" borderId="6" xfId="5" applyFont="1" applyBorder="1" applyAlignment="1" applyProtection="1">
      <alignment horizontal="center"/>
    </xf>
    <xf numFmtId="0" fontId="8" fillId="0" borderId="3" xfId="0" applyFont="1" applyBorder="1" applyAlignment="1" applyProtection="1">
      <alignment horizontal="center" wrapText="1"/>
    </xf>
    <xf numFmtId="0" fontId="13" fillId="0" borderId="0" xfId="5" applyFont="1" applyAlignment="1" applyProtection="1">
      <alignment horizontal="center"/>
    </xf>
    <xf numFmtId="0" fontId="12" fillId="0" borderId="3" xfId="5" applyFont="1" applyBorder="1" applyProtection="1"/>
    <xf numFmtId="0" fontId="12" fillId="0" borderId="12" xfId="5" applyFont="1" applyBorder="1" applyProtection="1"/>
    <xf numFmtId="0" fontId="17" fillId="2" borderId="12" xfId="5" applyFont="1" applyFill="1" applyBorder="1" applyProtection="1"/>
    <xf numFmtId="0" fontId="4" fillId="0" borderId="14" xfId="5" applyFont="1" applyBorder="1" applyProtection="1"/>
    <xf numFmtId="0" fontId="1" fillId="0" borderId="12" xfId="5" applyFont="1" applyBorder="1" applyProtection="1"/>
    <xf numFmtId="0" fontId="12" fillId="3" borderId="9" xfId="5" applyFont="1" applyFill="1" applyBorder="1" applyProtection="1"/>
    <xf numFmtId="0" fontId="12" fillId="0" borderId="3" xfId="5" applyFont="1" applyBorder="1" applyAlignment="1" applyProtection="1">
      <alignment horizontal="center"/>
    </xf>
    <xf numFmtId="0" fontId="12" fillId="0" borderId="8" xfId="5" applyFont="1" applyBorder="1" applyAlignment="1" applyProtection="1">
      <alignment horizontal="center"/>
    </xf>
    <xf numFmtId="0" fontId="12" fillId="0" borderId="0" xfId="5" applyFont="1" applyAlignment="1" applyProtection="1">
      <alignment horizontal="center"/>
    </xf>
    <xf numFmtId="0" fontId="7" fillId="0" borderId="0" xfId="0" applyFont="1" applyAlignment="1" applyProtection="1">
      <alignment wrapText="1"/>
    </xf>
    <xf numFmtId="0" fontId="3" fillId="0" borderId="0" xfId="5" applyFont="1" applyAlignment="1" applyProtection="1">
      <alignment horizontal="left"/>
    </xf>
    <xf numFmtId="0" fontId="3" fillId="0" borderId="0" xfId="5" applyFont="1" applyAlignment="1" applyProtection="1">
      <alignment horizontal="center"/>
    </xf>
    <xf numFmtId="0" fontId="12" fillId="0" borderId="0" xfId="5" applyFont="1" applyAlignment="1" applyProtection="1">
      <alignment horizontal="center"/>
    </xf>
    <xf numFmtId="0" fontId="14" fillId="0" borderId="0" xfId="5" applyFont="1" applyProtection="1"/>
    <xf numFmtId="0" fontId="18" fillId="6" borderId="0" xfId="5" applyFont="1" applyFill="1" applyAlignment="1" applyProtection="1">
      <alignment horizontal="center"/>
      <protection locked="0"/>
    </xf>
    <xf numFmtId="0" fontId="6" fillId="0" borderId="0" xfId="5" applyProtection="1">
      <protection locked="0"/>
    </xf>
    <xf numFmtId="9" fontId="1" fillId="6" borderId="3" xfId="5" applyNumberFormat="1" applyFont="1" applyFill="1" applyBorder="1" applyAlignment="1" applyProtection="1">
      <alignment horizontal="center"/>
      <protection locked="0"/>
    </xf>
    <xf numFmtId="1" fontId="4" fillId="0" borderId="12" xfId="5" applyNumberFormat="1" applyFont="1" applyBorder="1" applyProtection="1">
      <protection locked="0"/>
    </xf>
    <xf numFmtId="0" fontId="1" fillId="0" borderId="0" xfId="5" applyFont="1" applyAlignment="1" applyProtection="1">
      <alignment horizontal="left"/>
    </xf>
    <xf numFmtId="0" fontId="3" fillId="0" borderId="0" xfId="5" applyFont="1" applyAlignment="1" applyProtection="1"/>
    <xf numFmtId="0" fontId="4" fillId="2" borderId="11" xfId="5" applyFont="1" applyFill="1" applyBorder="1" applyProtection="1"/>
    <xf numFmtId="0" fontId="4" fillId="2" borderId="12" xfId="5" applyFont="1" applyFill="1" applyBorder="1" applyProtection="1"/>
    <xf numFmtId="0" fontId="1" fillId="0" borderId="0" xfId="5" applyFont="1" applyProtection="1"/>
    <xf numFmtId="0" fontId="0" fillId="0" borderId="0" xfId="0" applyAlignment="1" applyProtection="1">
      <alignment wrapText="1"/>
      <protection locked="0"/>
    </xf>
    <xf numFmtId="9" fontId="6" fillId="0" borderId="2" xfId="5" applyNumberFormat="1" applyBorder="1" applyProtection="1">
      <protection locked="0"/>
    </xf>
    <xf numFmtId="9" fontId="6" fillId="0" borderId="4" xfId="5" applyNumberFormat="1" applyBorder="1" applyProtection="1">
      <protection locked="0"/>
    </xf>
    <xf numFmtId="9" fontId="6" fillId="0" borderId="0" xfId="5" applyNumberFormat="1" applyBorder="1" applyProtection="1">
      <protection locked="0"/>
    </xf>
    <xf numFmtId="9" fontId="6" fillId="0" borderId="5" xfId="5" applyNumberFormat="1" applyBorder="1" applyProtection="1">
      <protection locked="0"/>
    </xf>
    <xf numFmtId="9" fontId="6" fillId="0" borderId="16" xfId="5" applyNumberFormat="1" applyBorder="1" applyProtection="1">
      <protection locked="0"/>
    </xf>
    <xf numFmtId="9" fontId="6" fillId="0" borderId="13" xfId="5" applyNumberFormat="1" applyBorder="1" applyProtection="1">
      <protection locked="0"/>
    </xf>
    <xf numFmtId="0" fontId="6" fillId="0" borderId="0" xfId="5" applyBorder="1" applyProtection="1">
      <protection locked="0"/>
    </xf>
    <xf numFmtId="0" fontId="6" fillId="0" borderId="5" xfId="5" applyBorder="1" applyProtection="1">
      <protection locked="0"/>
    </xf>
    <xf numFmtId="0" fontId="6" fillId="0" borderId="2" xfId="5" applyBorder="1" applyProtection="1">
      <protection locked="0"/>
    </xf>
    <xf numFmtId="0" fontId="6" fillId="0" borderId="4" xfId="5" applyBorder="1" applyProtection="1">
      <protection locked="0"/>
    </xf>
    <xf numFmtId="0" fontId="6" fillId="0" borderId="16" xfId="5" applyBorder="1" applyProtection="1">
      <protection locked="0"/>
    </xf>
    <xf numFmtId="0" fontId="6" fillId="0" borderId="13" xfId="5" applyBorder="1" applyProtection="1">
      <protection locked="0"/>
    </xf>
    <xf numFmtId="44" fontId="6" fillId="0" borderId="0" xfId="4" applyFont="1" applyProtection="1">
      <protection locked="0"/>
    </xf>
    <xf numFmtId="0" fontId="6" fillId="2" borderId="0" xfId="5" applyFill="1" applyBorder="1" applyProtection="1">
      <protection locked="0"/>
    </xf>
    <xf numFmtId="0" fontId="6" fillId="2" borderId="5" xfId="5" applyFill="1" applyBorder="1" applyProtection="1">
      <protection locked="0"/>
    </xf>
    <xf numFmtId="170" fontId="6" fillId="0" borderId="2" xfId="4" applyNumberFormat="1" applyFont="1" applyBorder="1" applyProtection="1">
      <protection locked="0"/>
    </xf>
    <xf numFmtId="170" fontId="6" fillId="0" borderId="4" xfId="4" applyNumberFormat="1" applyFont="1" applyBorder="1" applyProtection="1">
      <protection locked="0"/>
    </xf>
    <xf numFmtId="37" fontId="6" fillId="0" borderId="0" xfId="4" applyNumberFormat="1" applyFont="1" applyBorder="1" applyProtection="1">
      <protection locked="0"/>
    </xf>
    <xf numFmtId="37" fontId="6" fillId="0" borderId="5" xfId="4" applyNumberFormat="1" applyFont="1" applyBorder="1" applyProtection="1">
      <protection locked="0"/>
    </xf>
    <xf numFmtId="164" fontId="6" fillId="0" borderId="0" xfId="4" applyNumberFormat="1" applyFont="1" applyBorder="1" applyProtection="1">
      <protection locked="0"/>
    </xf>
    <xf numFmtId="164" fontId="6" fillId="0" borderId="5" xfId="4" applyNumberFormat="1" applyFont="1" applyBorder="1" applyProtection="1">
      <protection locked="0"/>
    </xf>
    <xf numFmtId="164" fontId="1" fillId="5" borderId="0" xfId="4" applyNumberFormat="1" applyFont="1" applyFill="1" applyBorder="1" applyAlignment="1" applyProtection="1">
      <alignment horizontal="center"/>
      <protection locked="0"/>
    </xf>
    <xf numFmtId="164" fontId="1" fillId="5" borderId="5" xfId="4" applyNumberFormat="1" applyFont="1" applyFill="1" applyBorder="1" applyAlignment="1" applyProtection="1">
      <alignment horizontal="center"/>
      <protection locked="0"/>
    </xf>
    <xf numFmtId="164" fontId="1" fillId="0" borderId="14" xfId="4" applyNumberFormat="1" applyFont="1" applyBorder="1" applyAlignment="1" applyProtection="1">
      <protection locked="0"/>
    </xf>
    <xf numFmtId="164" fontId="1" fillId="0" borderId="5" xfId="4" applyNumberFormat="1" applyFont="1" applyBorder="1" applyAlignment="1" applyProtection="1">
      <protection locked="0"/>
    </xf>
    <xf numFmtId="0" fontId="6" fillId="0" borderId="0" xfId="5" applyFont="1" applyProtection="1">
      <protection locked="0"/>
    </xf>
    <xf numFmtId="0" fontId="0" fillId="0" borderId="0" xfId="0" applyAlignment="1" applyProtection="1">
      <alignment wrapText="1"/>
    </xf>
    <xf numFmtId="0" fontId="6" fillId="0" borderId="0" xfId="5" applyProtection="1"/>
    <xf numFmtId="0" fontId="12" fillId="0" borderId="0" xfId="5" applyFont="1" applyProtection="1"/>
    <xf numFmtId="0" fontId="6" fillId="2" borderId="2" xfId="5" applyFill="1" applyBorder="1" applyProtection="1"/>
    <xf numFmtId="0" fontId="6" fillId="2" borderId="4" xfId="5" applyFill="1" applyBorder="1" applyProtection="1"/>
    <xf numFmtId="0" fontId="5" fillId="0" borderId="11" xfId="5" applyFont="1" applyBorder="1" applyProtection="1"/>
    <xf numFmtId="0" fontId="5" fillId="0" borderId="12" xfId="5" applyFont="1" applyBorder="1" applyProtection="1"/>
    <xf numFmtId="0" fontId="5" fillId="0" borderId="17" xfId="5" applyFont="1" applyBorder="1" applyProtection="1"/>
    <xf numFmtId="0" fontId="13" fillId="0" borderId="12" xfId="5" applyFont="1" applyBorder="1" applyProtection="1"/>
    <xf numFmtId="0" fontId="1" fillId="0" borderId="17" xfId="5" applyFont="1" applyBorder="1" applyProtection="1"/>
    <xf numFmtId="0" fontId="6" fillId="0" borderId="17" xfId="5" applyFont="1" applyBorder="1" applyProtection="1"/>
    <xf numFmtId="0" fontId="6" fillId="0" borderId="12" xfId="5" applyFont="1" applyBorder="1" applyProtection="1"/>
    <xf numFmtId="0" fontId="4" fillId="0" borderId="5" xfId="5" applyFont="1" applyBorder="1" applyProtection="1"/>
    <xf numFmtId="164" fontId="6" fillId="0" borderId="7" xfId="4" applyNumberFormat="1" applyFont="1" applyBorder="1" applyProtection="1"/>
    <xf numFmtId="164" fontId="6" fillId="0" borderId="8" xfId="4" applyNumberFormat="1" applyFont="1" applyBorder="1" applyProtection="1"/>
    <xf numFmtId="164" fontId="6" fillId="0" borderId="0" xfId="4" applyNumberFormat="1" applyFont="1" applyBorder="1" applyProtection="1"/>
    <xf numFmtId="164" fontId="6" fillId="0" borderId="5" xfId="4" applyNumberFormat="1" applyFont="1" applyBorder="1" applyProtection="1"/>
    <xf numFmtId="164" fontId="12" fillId="3" borderId="1" xfId="4" applyNumberFormat="1" applyFont="1" applyFill="1" applyBorder="1" applyProtection="1"/>
    <xf numFmtId="9" fontId="6" fillId="0" borderId="7" xfId="18" applyFont="1" applyBorder="1" applyProtection="1"/>
    <xf numFmtId="9" fontId="6" fillId="0" borderId="8" xfId="18" applyFont="1" applyBorder="1" applyProtection="1"/>
    <xf numFmtId="0" fontId="5" fillId="0" borderId="0" xfId="5" applyFont="1" applyProtection="1"/>
    <xf numFmtId="0" fontId="2" fillId="0" borderId="0" xfId="5" applyFont="1" applyProtection="1"/>
    <xf numFmtId="166" fontId="6" fillId="0" borderId="0" xfId="4" applyNumberFormat="1" applyFont="1" applyProtection="1"/>
    <xf numFmtId="166" fontId="5" fillId="0" borderId="0" xfId="4" applyNumberFormat="1" applyFont="1" applyProtection="1"/>
    <xf numFmtId="164" fontId="6" fillId="0" borderId="16" xfId="4" applyNumberFormat="1" applyFont="1" applyBorder="1" applyProtection="1"/>
    <xf numFmtId="164" fontId="6" fillId="0" borderId="13" xfId="4" applyNumberFormat="1" applyFont="1" applyBorder="1" applyProtection="1"/>
    <xf numFmtId="3" fontId="6" fillId="0" borderId="0" xfId="5" applyNumberFormat="1" applyBorder="1" applyProtection="1"/>
    <xf numFmtId="3" fontId="6" fillId="0" borderId="5" xfId="5" applyNumberFormat="1" applyBorder="1" applyProtection="1"/>
    <xf numFmtId="168" fontId="6" fillId="0" borderId="7" xfId="4" applyNumberFormat="1" applyFont="1" applyBorder="1" applyProtection="1"/>
    <xf numFmtId="170" fontId="6" fillId="0" borderId="0" xfId="5" applyNumberFormat="1" applyBorder="1" applyProtection="1"/>
    <xf numFmtId="170" fontId="6" fillId="0" borderId="5" xfId="5" applyNumberFormat="1" applyBorder="1" applyProtection="1"/>
    <xf numFmtId="9" fontId="5" fillId="0" borderId="0" xfId="5" applyNumberFormat="1" applyFont="1" applyProtection="1"/>
    <xf numFmtId="9" fontId="6" fillId="0" borderId="0" xfId="5" applyNumberFormat="1" applyProtection="1"/>
    <xf numFmtId="0" fontId="18" fillId="0" borderId="0" xfId="5" applyFont="1" applyProtection="1"/>
    <xf numFmtId="2" fontId="6" fillId="0" borderId="0" xfId="5" applyNumberFormat="1" applyProtection="1"/>
    <xf numFmtId="2" fontId="5" fillId="0" borderId="0" xfId="5" applyNumberFormat="1" applyFont="1" applyProtection="1"/>
    <xf numFmtId="0" fontId="6" fillId="0" borderId="0" xfId="5" applyAlignment="1" applyProtection="1">
      <alignment horizontal="center"/>
      <protection locked="0"/>
    </xf>
    <xf numFmtId="1" fontId="6" fillId="0" borderId="0" xfId="5" applyNumberFormat="1" applyBorder="1" applyProtection="1">
      <protection locked="0"/>
    </xf>
    <xf numFmtId="1" fontId="6" fillId="0" borderId="5" xfId="5" applyNumberFormat="1" applyBorder="1" applyProtection="1">
      <protection locked="0"/>
    </xf>
    <xf numFmtId="1" fontId="6" fillId="0" borderId="2" xfId="5" applyNumberFormat="1" applyBorder="1" applyProtection="1">
      <protection locked="0"/>
    </xf>
    <xf numFmtId="1" fontId="6" fillId="0" borderId="4" xfId="5" applyNumberFormat="1" applyBorder="1" applyProtection="1">
      <protection locked="0"/>
    </xf>
    <xf numFmtId="1" fontId="6" fillId="0" borderId="16" xfId="5" applyNumberFormat="1" applyBorder="1" applyProtection="1">
      <protection locked="0"/>
    </xf>
    <xf numFmtId="1" fontId="6" fillId="0" borderId="13" xfId="5" applyNumberFormat="1" applyBorder="1" applyProtection="1">
      <protection locked="0"/>
    </xf>
    <xf numFmtId="173" fontId="6" fillId="0" borderId="2" xfId="4" applyNumberFormat="1" applyFont="1" applyBorder="1" applyProtection="1">
      <protection locked="0"/>
    </xf>
    <xf numFmtId="173" fontId="6" fillId="0" borderId="4" xfId="4" applyNumberFormat="1" applyFont="1" applyBorder="1" applyProtection="1">
      <protection locked="0"/>
    </xf>
    <xf numFmtId="168" fontId="6" fillId="0" borderId="0" xfId="4" applyNumberFormat="1" applyFont="1" applyBorder="1" applyProtection="1">
      <protection locked="0"/>
    </xf>
    <xf numFmtId="168" fontId="6" fillId="0" borderId="5" xfId="4" applyNumberFormat="1" applyFont="1" applyBorder="1" applyProtection="1">
      <protection locked="0"/>
    </xf>
    <xf numFmtId="168" fontId="1" fillId="5" borderId="0" xfId="4" applyNumberFormat="1" applyFont="1" applyFill="1" applyBorder="1" applyAlignment="1" applyProtection="1">
      <alignment horizontal="center"/>
      <protection locked="0"/>
    </xf>
    <xf numFmtId="168" fontId="1" fillId="5" borderId="5" xfId="4" applyNumberFormat="1" applyFont="1" applyFill="1" applyBorder="1" applyAlignment="1" applyProtection="1">
      <alignment horizontal="center"/>
      <protection locked="0"/>
    </xf>
    <xf numFmtId="164" fontId="1" fillId="0" borderId="0" xfId="4" applyNumberFormat="1" applyFont="1" applyBorder="1" applyAlignment="1" applyProtection="1">
      <protection locked="0"/>
    </xf>
    <xf numFmtId="168" fontId="1" fillId="0" borderId="0" xfId="4" applyNumberFormat="1" applyFont="1" applyBorder="1" applyAlignment="1" applyProtection="1">
      <protection locked="0"/>
    </xf>
    <xf numFmtId="168" fontId="1" fillId="0" borderId="5" xfId="4" applyNumberFormat="1" applyFont="1" applyBorder="1" applyAlignment="1" applyProtection="1">
      <protection locked="0"/>
    </xf>
    <xf numFmtId="0" fontId="0" fillId="0" borderId="0" xfId="0" applyAlignment="1" applyProtection="1">
      <alignment horizontal="center" wrapText="1"/>
      <protection locked="0"/>
    </xf>
    <xf numFmtId="0" fontId="6" fillId="0" borderId="0" xfId="5" applyBorder="1" applyProtection="1"/>
    <xf numFmtId="0" fontId="6" fillId="0" borderId="5" xfId="5" applyBorder="1" applyProtection="1"/>
    <xf numFmtId="0" fontId="4" fillId="0" borderId="0" xfId="5" applyFont="1" applyAlignment="1" applyProtection="1">
      <alignment horizontal="center"/>
    </xf>
    <xf numFmtId="0" fontId="18" fillId="6" borderId="0" xfId="5" applyFont="1" applyFill="1" applyAlignment="1" applyProtection="1">
      <alignment horizontal="center"/>
    </xf>
    <xf numFmtId="9" fontId="1" fillId="6" borderId="3" xfId="5" applyNumberFormat="1" applyFont="1" applyFill="1" applyBorder="1" applyAlignment="1" applyProtection="1">
      <alignment horizontal="center"/>
    </xf>
    <xf numFmtId="9" fontId="1" fillId="0" borderId="0" xfId="5" applyNumberFormat="1" applyFont="1" applyAlignment="1" applyProtection="1">
      <alignment horizontal="center"/>
    </xf>
    <xf numFmtId="0" fontId="6" fillId="0" borderId="0" xfId="5" applyAlignment="1" applyProtection="1">
      <alignment horizontal="center"/>
    </xf>
    <xf numFmtId="0" fontId="1" fillId="0" borderId="0" xfId="5" applyFont="1" applyAlignment="1" applyProtection="1">
      <alignment horizontal="left"/>
    </xf>
    <xf numFmtId="0" fontId="0" fillId="0" borderId="0" xfId="0" applyAlignment="1" applyProtection="1">
      <alignment horizontal="center" wrapText="1"/>
    </xf>
  </cellXfs>
  <cellStyles count="316">
    <cellStyle name="Currency" xfId="4" builtinId="4"/>
    <cellStyle name="Followed Hyperlink" xfId="3"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Hyperlink" xfId="2"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Normal" xfId="0" builtinId="0"/>
    <cellStyle name="Normal 2" xfId="1"/>
    <cellStyle name="Normal 3" xfId="5"/>
    <cellStyle name="Normal 4" xfId="49"/>
    <cellStyle name="Normal 5" xfId="80"/>
    <cellStyle name="Normal 6" xfId="299"/>
    <cellStyle name="Percent" xfId="18" builtinId="5"/>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Five Year Profitability Projection</a:t>
            </a:r>
          </a:p>
        </c:rich>
      </c:tx>
      <c:layout/>
      <c:overlay val="0"/>
    </c:title>
    <c:autoTitleDeleted val="0"/>
    <c:plotArea>
      <c:layout/>
      <c:lineChart>
        <c:grouping val="standard"/>
        <c:varyColors val="0"/>
        <c:ser>
          <c:idx val="0"/>
          <c:order val="0"/>
          <c:tx>
            <c:strRef>
              <c:f>'Farmer Projection'!$B$13</c:f>
              <c:strCache>
                <c:ptCount val="1"/>
                <c:pt idx="0">
                  <c:v>Total Income</c:v>
                </c:pt>
              </c:strCache>
            </c:strRef>
          </c:tx>
          <c:marker>
            <c:symbol val="none"/>
          </c:marker>
          <c:cat>
            <c:strRef>
              <c:f>'Farmer Projection'!$C$7:$G$7</c:f>
              <c:strCache>
                <c:ptCount val="5"/>
                <c:pt idx="0">
                  <c:v>Year 1</c:v>
                </c:pt>
                <c:pt idx="1">
                  <c:v>Year 2</c:v>
                </c:pt>
                <c:pt idx="2">
                  <c:v>Year 3</c:v>
                </c:pt>
                <c:pt idx="3">
                  <c:v>Year 4</c:v>
                </c:pt>
                <c:pt idx="4">
                  <c:v>Year 5</c:v>
                </c:pt>
              </c:strCache>
            </c:strRef>
          </c:cat>
          <c:val>
            <c:numRef>
              <c:f>'Farmer Projection'!$C$13:$G$13</c:f>
              <c:numCache>
                <c:formatCode>_ * #,##0_)[$GTQ-486]_ ;_ * \(#,##0\)[$GTQ-486]_ ;_ * "-"_)[$GTQ-486]_ ;_ @_ </c:formatCode>
                <c:ptCount val="5"/>
                <c:pt idx="0">
                  <c:v>600.0</c:v>
                </c:pt>
                <c:pt idx="1">
                  <c:v>1854.0</c:v>
                </c:pt>
                <c:pt idx="2">
                  <c:v>1909.62</c:v>
                </c:pt>
                <c:pt idx="3">
                  <c:v>3442.09005</c:v>
                </c:pt>
                <c:pt idx="4">
                  <c:v>3545.3527515</c:v>
                </c:pt>
              </c:numCache>
            </c:numRef>
          </c:val>
          <c:smooth val="0"/>
        </c:ser>
        <c:ser>
          <c:idx val="1"/>
          <c:order val="1"/>
          <c:tx>
            <c:strRef>
              <c:f>'Farmer Projection'!$B$20</c:f>
              <c:strCache>
                <c:ptCount val="1"/>
                <c:pt idx="0">
                  <c:v>Total Expenses</c:v>
                </c:pt>
              </c:strCache>
            </c:strRef>
          </c:tx>
          <c:marker>
            <c:symbol val="none"/>
          </c:marker>
          <c:cat>
            <c:strRef>
              <c:f>'Farmer Projection'!$C$7:$G$7</c:f>
              <c:strCache>
                <c:ptCount val="5"/>
                <c:pt idx="0">
                  <c:v>Year 1</c:v>
                </c:pt>
                <c:pt idx="1">
                  <c:v>Year 2</c:v>
                </c:pt>
                <c:pt idx="2">
                  <c:v>Year 3</c:v>
                </c:pt>
                <c:pt idx="3">
                  <c:v>Year 4</c:v>
                </c:pt>
                <c:pt idx="4">
                  <c:v>Year 5</c:v>
                </c:pt>
              </c:strCache>
            </c:strRef>
          </c:cat>
          <c:val>
            <c:numRef>
              <c:f>'Farmer Projection'!$C$20:$G$20</c:f>
              <c:numCache>
                <c:formatCode>_ * #,##0_)[$GTQ-486]_ ;_ * \(#,##0\)[$GTQ-486]_ ;_ * "-"_)[$GTQ-486]_ ;_ @_ </c:formatCode>
                <c:ptCount val="5"/>
                <c:pt idx="0">
                  <c:v>114.0</c:v>
                </c:pt>
                <c:pt idx="1">
                  <c:v>226.0</c:v>
                </c:pt>
                <c:pt idx="2">
                  <c:v>245.0</c:v>
                </c:pt>
                <c:pt idx="3">
                  <c:v>357.0</c:v>
                </c:pt>
                <c:pt idx="4">
                  <c:v>377.0</c:v>
                </c:pt>
              </c:numCache>
            </c:numRef>
          </c:val>
          <c:smooth val="0"/>
        </c:ser>
        <c:ser>
          <c:idx val="2"/>
          <c:order val="2"/>
          <c:tx>
            <c:strRef>
              <c:f>'Farmer Projection'!$B$22</c:f>
              <c:strCache>
                <c:ptCount val="1"/>
                <c:pt idx="0">
                  <c:v>PROFIT</c:v>
                </c:pt>
              </c:strCache>
            </c:strRef>
          </c:tx>
          <c:marker>
            <c:symbol val="none"/>
          </c:marker>
          <c:cat>
            <c:strRef>
              <c:f>'Farmer Projection'!$C$7:$G$7</c:f>
              <c:strCache>
                <c:ptCount val="5"/>
                <c:pt idx="0">
                  <c:v>Year 1</c:v>
                </c:pt>
                <c:pt idx="1">
                  <c:v>Year 2</c:v>
                </c:pt>
                <c:pt idx="2">
                  <c:v>Year 3</c:v>
                </c:pt>
                <c:pt idx="3">
                  <c:v>Year 4</c:v>
                </c:pt>
                <c:pt idx="4">
                  <c:v>Year 5</c:v>
                </c:pt>
              </c:strCache>
            </c:strRef>
          </c:cat>
          <c:val>
            <c:numRef>
              <c:f>'Farmer Projection'!$C$22:$G$22</c:f>
              <c:numCache>
                <c:formatCode>_ * #,##0_)[$GTQ-486]_ ;_ * \(#,##0\)[$GTQ-486]_ ;_ * "-"_)[$GTQ-486]_ ;_ @_ </c:formatCode>
                <c:ptCount val="5"/>
                <c:pt idx="0">
                  <c:v>486.0</c:v>
                </c:pt>
                <c:pt idx="1">
                  <c:v>1628.0</c:v>
                </c:pt>
                <c:pt idx="2">
                  <c:v>1664.62</c:v>
                </c:pt>
                <c:pt idx="3">
                  <c:v>3085.09005</c:v>
                </c:pt>
                <c:pt idx="4">
                  <c:v>3168.3527515</c:v>
                </c:pt>
              </c:numCache>
            </c:numRef>
          </c:val>
          <c:smooth val="0"/>
        </c:ser>
        <c:dLbls>
          <c:showLegendKey val="0"/>
          <c:showVal val="0"/>
          <c:showCatName val="0"/>
          <c:showSerName val="0"/>
          <c:showPercent val="0"/>
          <c:showBubbleSize val="0"/>
        </c:dLbls>
        <c:marker val="1"/>
        <c:smooth val="0"/>
        <c:axId val="2113114248"/>
        <c:axId val="2117523224"/>
      </c:lineChart>
      <c:catAx>
        <c:axId val="2113114248"/>
        <c:scaling>
          <c:orientation val="minMax"/>
        </c:scaling>
        <c:delete val="0"/>
        <c:axPos val="b"/>
        <c:majorGridlines/>
        <c:majorTickMark val="out"/>
        <c:minorTickMark val="none"/>
        <c:tickLblPos val="nextTo"/>
        <c:txPr>
          <a:bodyPr/>
          <a:lstStyle/>
          <a:p>
            <a:pPr>
              <a:defRPr sz="900"/>
            </a:pPr>
            <a:endParaRPr lang="en-US"/>
          </a:p>
        </c:txPr>
        <c:crossAx val="2117523224"/>
        <c:crosses val="autoZero"/>
        <c:auto val="1"/>
        <c:lblAlgn val="ctr"/>
        <c:lblOffset val="100"/>
        <c:noMultiLvlLbl val="0"/>
      </c:catAx>
      <c:valAx>
        <c:axId val="2117523224"/>
        <c:scaling>
          <c:orientation val="minMax"/>
        </c:scaling>
        <c:delete val="0"/>
        <c:axPos val="l"/>
        <c:majorGridlines/>
        <c:numFmt formatCode="_ * #,##0_)[$GTQ-486]_ ;_ * \(#,##0\)[$GTQ-486]_ ;_ * &quot;-&quot;_)[$GTQ-486]_ ;_ @_ " sourceLinked="1"/>
        <c:majorTickMark val="out"/>
        <c:minorTickMark val="none"/>
        <c:tickLblPos val="nextTo"/>
        <c:txPr>
          <a:bodyPr/>
          <a:lstStyle/>
          <a:p>
            <a:pPr>
              <a:defRPr sz="900">
                <a:latin typeface="GalaxiePolarisCondensed-Medium"/>
                <a:cs typeface="GalaxiePolarisCondensed-Medium"/>
              </a:defRPr>
            </a:pPr>
            <a:endParaRPr lang="en-US"/>
          </a:p>
        </c:txPr>
        <c:crossAx val="2113114248"/>
        <c:crosses val="autoZero"/>
        <c:crossBetween val="between"/>
      </c:valAx>
    </c:plotArea>
    <c:legend>
      <c:legendPos val="r"/>
      <c:layout/>
      <c:overlay val="0"/>
    </c:legend>
    <c:plotVisOnly val="1"/>
    <c:dispBlanksAs val="gap"/>
    <c:showDLblsOverMax val="0"/>
  </c:chart>
  <c:txPr>
    <a:bodyPr/>
    <a:lstStyle/>
    <a:p>
      <a:pPr>
        <a:defRPr>
          <a:latin typeface="GalaxiePolaris-Book"/>
          <a:cs typeface="GalaxiePolaris-Book"/>
        </a:defRPr>
      </a:pPr>
      <a:endParaRPr lang="en-US"/>
    </a:p>
  </c:txPr>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Five Year Profitability Projection</a:t>
            </a:r>
          </a:p>
        </c:rich>
      </c:tx>
      <c:layout/>
      <c:overlay val="0"/>
    </c:title>
    <c:autoTitleDeleted val="0"/>
    <c:plotArea>
      <c:layout/>
      <c:lineChart>
        <c:grouping val="standard"/>
        <c:varyColors val="0"/>
        <c:ser>
          <c:idx val="0"/>
          <c:order val="0"/>
          <c:tx>
            <c:strRef>
              <c:f>'Association Projection'!$B$22</c:f>
              <c:strCache>
                <c:ptCount val="1"/>
                <c:pt idx="0">
                  <c:v>Total Income</c:v>
                </c:pt>
              </c:strCache>
            </c:strRef>
          </c:tx>
          <c:marker>
            <c:symbol val="none"/>
          </c:marker>
          <c:cat>
            <c:strRef>
              <c:f>'Association Projection'!$C$5:$G$5</c:f>
              <c:strCache>
                <c:ptCount val="5"/>
                <c:pt idx="0">
                  <c:v>Year 1</c:v>
                </c:pt>
                <c:pt idx="1">
                  <c:v>Year 2</c:v>
                </c:pt>
                <c:pt idx="2">
                  <c:v>Year 3</c:v>
                </c:pt>
                <c:pt idx="3">
                  <c:v>Year 4</c:v>
                </c:pt>
                <c:pt idx="4">
                  <c:v>Year 5</c:v>
                </c:pt>
              </c:strCache>
            </c:strRef>
          </c:cat>
          <c:val>
            <c:numRef>
              <c:f>'Association Projection'!$C$22:$G$22</c:f>
              <c:numCache>
                <c:formatCode>_ * #,##0_)[$GTQ-486]_ ;_ * \(#,##0\)[$GTQ-486]_ ;_ * "-"??_)[$GTQ-486]_ ;_ @_ </c:formatCode>
                <c:ptCount val="5"/>
                <c:pt idx="0">
                  <c:v>382000.0</c:v>
                </c:pt>
                <c:pt idx="1">
                  <c:v>412875.5</c:v>
                </c:pt>
                <c:pt idx="2">
                  <c:v>446259.62825</c:v>
                </c:pt>
                <c:pt idx="3">
                  <c:v>482356.606202375</c:v>
                </c:pt>
                <c:pt idx="4">
                  <c:v>521387.2924053686</c:v>
                </c:pt>
              </c:numCache>
            </c:numRef>
          </c:val>
          <c:smooth val="0"/>
        </c:ser>
        <c:ser>
          <c:idx val="1"/>
          <c:order val="1"/>
          <c:tx>
            <c:strRef>
              <c:f>'Association Projection'!$B$43</c:f>
              <c:strCache>
                <c:ptCount val="1"/>
                <c:pt idx="0">
                  <c:v>Total Expenses</c:v>
                </c:pt>
              </c:strCache>
            </c:strRef>
          </c:tx>
          <c:marker>
            <c:symbol val="none"/>
          </c:marker>
          <c:cat>
            <c:strRef>
              <c:f>'Association Projection'!$C$5:$G$5</c:f>
              <c:strCache>
                <c:ptCount val="5"/>
                <c:pt idx="0">
                  <c:v>Year 1</c:v>
                </c:pt>
                <c:pt idx="1">
                  <c:v>Year 2</c:v>
                </c:pt>
                <c:pt idx="2">
                  <c:v>Year 3</c:v>
                </c:pt>
                <c:pt idx="3">
                  <c:v>Year 4</c:v>
                </c:pt>
                <c:pt idx="4">
                  <c:v>Year 5</c:v>
                </c:pt>
              </c:strCache>
            </c:strRef>
          </c:cat>
          <c:val>
            <c:numRef>
              <c:f>'Association Projection'!$C$43:$G$43</c:f>
              <c:numCache>
                <c:formatCode>_ * #,##0_)[$GTQ-486]_ ;_ * \(#,##0\)[$GTQ-486]_ ;_ * "-"_)[$GTQ-486]_ ;_ @_ </c:formatCode>
                <c:ptCount val="5"/>
                <c:pt idx="0">
                  <c:v>328062.6666666667</c:v>
                </c:pt>
                <c:pt idx="1">
                  <c:v>346355.1816666667</c:v>
                </c:pt>
                <c:pt idx="2">
                  <c:v>394058.1988691667</c:v>
                </c:pt>
                <c:pt idx="3">
                  <c:v>415764.1645705704</c:v>
                </c:pt>
                <c:pt idx="4">
                  <c:v>438926.8731514455</c:v>
                </c:pt>
              </c:numCache>
            </c:numRef>
          </c:val>
          <c:smooth val="0"/>
        </c:ser>
        <c:ser>
          <c:idx val="2"/>
          <c:order val="2"/>
          <c:tx>
            <c:strRef>
              <c:f>'Association Projection'!$B$45</c:f>
              <c:strCache>
                <c:ptCount val="1"/>
                <c:pt idx="0">
                  <c:v>PROFIT</c:v>
                </c:pt>
              </c:strCache>
            </c:strRef>
          </c:tx>
          <c:marker>
            <c:symbol val="none"/>
          </c:marker>
          <c:cat>
            <c:strRef>
              <c:f>'Association Projection'!$C$5:$G$5</c:f>
              <c:strCache>
                <c:ptCount val="5"/>
                <c:pt idx="0">
                  <c:v>Year 1</c:v>
                </c:pt>
                <c:pt idx="1">
                  <c:v>Year 2</c:v>
                </c:pt>
                <c:pt idx="2">
                  <c:v>Year 3</c:v>
                </c:pt>
                <c:pt idx="3">
                  <c:v>Year 4</c:v>
                </c:pt>
                <c:pt idx="4">
                  <c:v>Year 5</c:v>
                </c:pt>
              </c:strCache>
            </c:strRef>
          </c:cat>
          <c:val>
            <c:numRef>
              <c:f>'Association Projection'!$C$45:$G$45</c:f>
              <c:numCache>
                <c:formatCode>_ * #,##0_)[$GTQ-486]_ ;_ * \(#,##0\)[$GTQ-486]_ ;_ * "-"_)[$GTQ-486]_ ;_ @_ </c:formatCode>
                <c:ptCount val="5"/>
                <c:pt idx="0">
                  <c:v>53937.33333333331</c:v>
                </c:pt>
                <c:pt idx="1">
                  <c:v>66520.3183333333</c:v>
                </c:pt>
                <c:pt idx="2">
                  <c:v>52201.42938083335</c:v>
                </c:pt>
                <c:pt idx="3">
                  <c:v>66592.44163180457</c:v>
                </c:pt>
                <c:pt idx="4">
                  <c:v>82460.41925392306</c:v>
                </c:pt>
              </c:numCache>
            </c:numRef>
          </c:val>
          <c:smooth val="0"/>
        </c:ser>
        <c:dLbls>
          <c:showLegendKey val="0"/>
          <c:showVal val="0"/>
          <c:showCatName val="0"/>
          <c:showSerName val="0"/>
          <c:showPercent val="0"/>
          <c:showBubbleSize val="0"/>
        </c:dLbls>
        <c:marker val="1"/>
        <c:smooth val="0"/>
        <c:axId val="-2130010584"/>
        <c:axId val="-2140131400"/>
      </c:lineChart>
      <c:catAx>
        <c:axId val="-2130010584"/>
        <c:scaling>
          <c:orientation val="minMax"/>
        </c:scaling>
        <c:delete val="0"/>
        <c:axPos val="b"/>
        <c:majorGridlines/>
        <c:majorTickMark val="out"/>
        <c:minorTickMark val="none"/>
        <c:tickLblPos val="nextTo"/>
        <c:txPr>
          <a:bodyPr/>
          <a:lstStyle/>
          <a:p>
            <a:pPr>
              <a:defRPr sz="900"/>
            </a:pPr>
            <a:endParaRPr lang="en-US"/>
          </a:p>
        </c:txPr>
        <c:crossAx val="-2140131400"/>
        <c:crosses val="autoZero"/>
        <c:auto val="1"/>
        <c:lblAlgn val="ctr"/>
        <c:lblOffset val="100"/>
        <c:noMultiLvlLbl val="0"/>
      </c:catAx>
      <c:valAx>
        <c:axId val="-2140131400"/>
        <c:scaling>
          <c:orientation val="minMax"/>
        </c:scaling>
        <c:delete val="0"/>
        <c:axPos val="l"/>
        <c:majorGridlines/>
        <c:numFmt formatCode="_ * #,##0_)[$GTQ-486]_ ;_ * \(#,##0\)[$GTQ-486]_ ;_ * &quot;-&quot;??_)[$GTQ-486]_ ;_ @_ " sourceLinked="1"/>
        <c:majorTickMark val="out"/>
        <c:minorTickMark val="none"/>
        <c:tickLblPos val="nextTo"/>
        <c:txPr>
          <a:bodyPr/>
          <a:lstStyle/>
          <a:p>
            <a:pPr>
              <a:defRPr sz="900" b="0" i="0">
                <a:latin typeface="GalaxiePolarisCondensed-Medium"/>
                <a:cs typeface="GalaxiePolarisCondensed-Medium"/>
              </a:defRPr>
            </a:pPr>
            <a:endParaRPr lang="en-US"/>
          </a:p>
        </c:txPr>
        <c:crossAx val="-2130010584"/>
        <c:crosses val="autoZero"/>
        <c:crossBetween val="between"/>
      </c:valAx>
    </c:plotArea>
    <c:legend>
      <c:legendPos val="r"/>
      <c:layout/>
      <c:overlay val="0"/>
    </c:legend>
    <c:plotVisOnly val="1"/>
    <c:dispBlanksAs val="gap"/>
    <c:showDLblsOverMax val="0"/>
  </c:chart>
  <c:txPr>
    <a:bodyPr/>
    <a:lstStyle/>
    <a:p>
      <a:pPr>
        <a:defRPr>
          <a:latin typeface="GalaxiePolaris-Book"/>
          <a:cs typeface="GalaxiePolaris-Book"/>
        </a:defRPr>
      </a:pPr>
      <a:endParaRPr lang="en-US"/>
    </a:p>
  </c:txPr>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8</xdr:col>
      <xdr:colOff>0</xdr:colOff>
      <xdr:row>8</xdr:row>
      <xdr:rowOff>0</xdr:rowOff>
    </xdr:from>
    <xdr:to>
      <xdr:col>13</xdr:col>
      <xdr:colOff>457200</xdr:colOff>
      <xdr:row>27</xdr:row>
      <xdr:rowOff>20320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8</xdr:row>
      <xdr:rowOff>0</xdr:rowOff>
    </xdr:from>
    <xdr:to>
      <xdr:col>13</xdr:col>
      <xdr:colOff>457200</xdr:colOff>
      <xdr:row>28</xdr:row>
      <xdr:rowOff>40640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20"/>
  <sheetViews>
    <sheetView showGridLines="0" tabSelected="1" zoomScale="125" zoomScaleNormal="125" zoomScalePageLayoutView="125" workbookViewId="0"/>
  </sheetViews>
  <sheetFormatPr baseColWidth="10" defaultRowHeight="12" x14ac:dyDescent="0"/>
  <cols>
    <col min="1" max="1" width="1.83203125" style="61" customWidth="1"/>
    <col min="2" max="2" width="106.5" style="61" customWidth="1"/>
    <col min="3" max="16384" width="10.83203125" style="61"/>
  </cols>
  <sheetData>
    <row r="1" spans="2:2" ht="25">
      <c r="B1" s="60" t="s">
        <v>114</v>
      </c>
    </row>
    <row r="2" spans="2:2" ht="23">
      <c r="B2" s="63" t="s">
        <v>115</v>
      </c>
    </row>
    <row r="3" spans="2:2" ht="15">
      <c r="B3" s="64" t="s">
        <v>116</v>
      </c>
    </row>
    <row r="4" spans="2:2" ht="15">
      <c r="B4" s="65"/>
    </row>
    <row r="5" spans="2:2" ht="75">
      <c r="B5" s="66" t="s">
        <v>125</v>
      </c>
    </row>
    <row r="6" spans="2:2" ht="15">
      <c r="B6" s="65"/>
    </row>
    <row r="7" spans="2:2" ht="60">
      <c r="B7" s="67" t="s">
        <v>119</v>
      </c>
    </row>
    <row r="8" spans="2:2" ht="45">
      <c r="B8" s="67" t="s">
        <v>120</v>
      </c>
    </row>
    <row r="9" spans="2:2" ht="75">
      <c r="B9" s="67" t="s">
        <v>121</v>
      </c>
    </row>
    <row r="10" spans="2:2" ht="30">
      <c r="B10" s="67" t="s">
        <v>122</v>
      </c>
    </row>
    <row r="11" spans="2:2" ht="30">
      <c r="B11" s="67" t="s">
        <v>123</v>
      </c>
    </row>
    <row r="12" spans="2:2" ht="15">
      <c r="B12" s="67" t="s">
        <v>124</v>
      </c>
    </row>
    <row r="13" spans="2:2" ht="15">
      <c r="B13" s="67"/>
    </row>
    <row r="14" spans="2:2">
      <c r="B14" s="62"/>
    </row>
    <row r="15" spans="2:2">
      <c r="B15" s="62"/>
    </row>
    <row r="16" spans="2:2">
      <c r="B16" s="62"/>
    </row>
    <row r="17" spans="2:2">
      <c r="B17" s="62"/>
    </row>
    <row r="18" spans="2:2">
      <c r="B18" s="62"/>
    </row>
    <row r="19" spans="2:2">
      <c r="B19" s="62"/>
    </row>
    <row r="20" spans="2:2">
      <c r="B20" s="62"/>
    </row>
  </sheetData>
  <sheetProtection sheet="1" objects="1" scenarios="1"/>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6"/>
  <sheetViews>
    <sheetView showGridLines="0" zoomScale="125" zoomScaleNormal="125" zoomScalePageLayoutView="125" workbookViewId="0"/>
  </sheetViews>
  <sheetFormatPr baseColWidth="10" defaultRowHeight="11" x14ac:dyDescent="0"/>
  <cols>
    <col min="1" max="1" width="2.5" style="69" customWidth="1"/>
    <col min="2" max="2" width="24.6640625" style="70" customWidth="1"/>
    <col min="3" max="4" width="11.33203125" style="69" bestFit="1" customWidth="1"/>
    <col min="5" max="5" width="9.5" style="68" bestFit="1" customWidth="1"/>
    <col min="6" max="16384" width="10.83203125" style="69"/>
  </cols>
  <sheetData>
    <row r="1" spans="2:6">
      <c r="B1" s="108" t="s">
        <v>1</v>
      </c>
      <c r="C1" s="108"/>
      <c r="D1" s="108"/>
      <c r="E1" s="109"/>
    </row>
    <row r="2" spans="2:6">
      <c r="B2" s="110" t="s">
        <v>85</v>
      </c>
      <c r="C2" s="110"/>
      <c r="D2" s="110"/>
      <c r="E2" s="110"/>
    </row>
    <row r="3" spans="2:6">
      <c r="B3" s="111" t="s">
        <v>86</v>
      </c>
      <c r="C3" s="111"/>
      <c r="D3" s="111"/>
      <c r="E3" s="111"/>
    </row>
    <row r="4" spans="2:6">
      <c r="B4" s="110" t="s">
        <v>87</v>
      </c>
      <c r="C4" s="110"/>
      <c r="D4" s="110"/>
      <c r="E4" s="110"/>
    </row>
    <row r="5" spans="2:6">
      <c r="B5" s="112"/>
      <c r="C5" s="112"/>
      <c r="D5" s="112"/>
      <c r="E5" s="109"/>
    </row>
    <row r="6" spans="2:6">
      <c r="B6" s="113"/>
      <c r="C6" s="91"/>
      <c r="D6" s="91"/>
      <c r="E6" s="109"/>
    </row>
    <row r="7" spans="2:6" s="70" customFormat="1">
      <c r="B7" s="99" t="s">
        <v>33</v>
      </c>
      <c r="C7" s="106" t="s">
        <v>11</v>
      </c>
      <c r="D7" s="107" t="s">
        <v>80</v>
      </c>
      <c r="E7" s="107" t="s">
        <v>12</v>
      </c>
    </row>
    <row r="8" spans="2:6">
      <c r="B8" s="92" t="s">
        <v>2</v>
      </c>
      <c r="C8" s="71"/>
      <c r="D8" s="72"/>
      <c r="E8" s="72"/>
      <c r="F8" s="68"/>
    </row>
    <row r="9" spans="2:6">
      <c r="B9" s="93" t="s">
        <v>76</v>
      </c>
      <c r="C9" s="73">
        <v>800</v>
      </c>
      <c r="D9" s="74">
        <v>1000</v>
      </c>
      <c r="E9" s="74">
        <v>1200</v>
      </c>
      <c r="F9" s="68"/>
    </row>
    <row r="10" spans="2:6">
      <c r="B10" s="93" t="s">
        <v>24</v>
      </c>
      <c r="C10" s="73">
        <v>1.25</v>
      </c>
      <c r="D10" s="74">
        <v>1.5</v>
      </c>
      <c r="E10" s="74">
        <v>2</v>
      </c>
      <c r="F10" s="68"/>
    </row>
    <row r="11" spans="2:6">
      <c r="B11" s="93" t="s">
        <v>25</v>
      </c>
      <c r="C11" s="73">
        <v>1</v>
      </c>
      <c r="D11" s="74">
        <v>1</v>
      </c>
      <c r="E11" s="74">
        <v>1</v>
      </c>
      <c r="F11" s="68"/>
    </row>
    <row r="12" spans="2:6">
      <c r="B12" s="93" t="s">
        <v>17</v>
      </c>
      <c r="C12" s="75">
        <v>0.6</v>
      </c>
      <c r="D12" s="76">
        <v>0.6</v>
      </c>
      <c r="E12" s="76">
        <f>C12</f>
        <v>0.6</v>
      </c>
      <c r="F12" s="68"/>
    </row>
    <row r="13" spans="2:6">
      <c r="B13" s="100" t="s">
        <v>9</v>
      </c>
      <c r="C13" s="83">
        <f>C9*C10*C11*(1-C12)</f>
        <v>400</v>
      </c>
      <c r="D13" s="84">
        <f>D9*D10*D11*(1-D12)</f>
        <v>600</v>
      </c>
      <c r="E13" s="84">
        <f>E9*E10*E11*(1-E12)</f>
        <v>960</v>
      </c>
      <c r="F13" s="68"/>
    </row>
    <row r="14" spans="2:6">
      <c r="B14" s="101"/>
      <c r="C14" s="73"/>
      <c r="D14" s="74"/>
      <c r="E14" s="74"/>
      <c r="F14" s="68"/>
    </row>
    <row r="15" spans="2:6">
      <c r="B15" s="102" t="s">
        <v>4</v>
      </c>
      <c r="C15" s="77"/>
      <c r="D15" s="78"/>
      <c r="E15" s="78"/>
      <c r="F15" s="68"/>
    </row>
    <row r="16" spans="2:6">
      <c r="B16" s="103" t="s">
        <v>5</v>
      </c>
      <c r="C16" s="79">
        <f>25*4</f>
        <v>100</v>
      </c>
      <c r="D16" s="80">
        <f>AVERAGE(C16,E16)</f>
        <v>62</v>
      </c>
      <c r="E16" s="80">
        <v>24</v>
      </c>
      <c r="F16" s="68"/>
    </row>
    <row r="17" spans="2:6">
      <c r="B17" s="103" t="s">
        <v>6</v>
      </c>
      <c r="C17" s="79">
        <v>250</v>
      </c>
      <c r="D17" s="80">
        <v>50</v>
      </c>
      <c r="E17" s="80">
        <v>1</v>
      </c>
      <c r="F17" s="68"/>
    </row>
    <row r="18" spans="2:6">
      <c r="B18" s="93" t="s">
        <v>10</v>
      </c>
      <c r="C18" s="79">
        <f>1/3*24*2</f>
        <v>16</v>
      </c>
      <c r="D18" s="80">
        <v>1</v>
      </c>
      <c r="E18" s="80">
        <v>1</v>
      </c>
      <c r="F18" s="68"/>
    </row>
    <row r="19" spans="2:6">
      <c r="B19" s="104" t="s">
        <v>117</v>
      </c>
      <c r="C19" s="79">
        <v>1</v>
      </c>
      <c r="D19" s="80">
        <v>1</v>
      </c>
      <c r="E19" s="80">
        <v>1</v>
      </c>
      <c r="F19" s="68"/>
    </row>
    <row r="20" spans="2:6">
      <c r="B20" s="100" t="s">
        <v>8</v>
      </c>
      <c r="C20" s="83">
        <f>SUM(C16:C19)</f>
        <v>367</v>
      </c>
      <c r="D20" s="84">
        <f>SUM(D16:D19)</f>
        <v>114</v>
      </c>
      <c r="E20" s="84">
        <f>SUM(E16:E19)</f>
        <v>27</v>
      </c>
      <c r="F20" s="68"/>
    </row>
    <row r="21" spans="2:6">
      <c r="B21" s="93"/>
      <c r="C21" s="85"/>
      <c r="D21" s="86"/>
      <c r="E21" s="86"/>
      <c r="F21" s="68"/>
    </row>
    <row r="22" spans="2:6" ht="12" thickBot="1">
      <c r="B22" s="105" t="s">
        <v>7</v>
      </c>
      <c r="C22" s="87">
        <f>C13-C20</f>
        <v>33</v>
      </c>
      <c r="D22" s="88">
        <f>D13-D20</f>
        <v>486</v>
      </c>
      <c r="E22" s="88">
        <f>E13-E20</f>
        <v>933</v>
      </c>
      <c r="F22" s="68"/>
    </row>
    <row r="23" spans="2:6" ht="12" thickTop="1">
      <c r="B23" s="100" t="s">
        <v>65</v>
      </c>
      <c r="C23" s="89">
        <f>C22/C13</f>
        <v>8.2500000000000004E-2</v>
      </c>
      <c r="D23" s="90">
        <f>D22/D13</f>
        <v>0.81</v>
      </c>
      <c r="E23" s="90">
        <f>E22/E13</f>
        <v>0.97187500000000004</v>
      </c>
      <c r="F23" s="68"/>
    </row>
    <row r="24" spans="2:6">
      <c r="B24" s="69"/>
    </row>
    <row r="25" spans="2:6">
      <c r="B25" s="69"/>
    </row>
    <row r="26" spans="2:6">
      <c r="B26" s="69"/>
    </row>
    <row r="27" spans="2:6">
      <c r="B27" s="69"/>
    </row>
    <row r="28" spans="2:6">
      <c r="B28" s="91"/>
      <c r="C28" s="97" t="s">
        <v>74</v>
      </c>
      <c r="D28" s="98" t="s">
        <v>75</v>
      </c>
    </row>
    <row r="29" spans="2:6">
      <c r="B29" s="92" t="s">
        <v>2</v>
      </c>
      <c r="C29" s="71"/>
      <c r="D29" s="72"/>
      <c r="E29" s="69"/>
    </row>
    <row r="30" spans="2:6">
      <c r="B30" s="93" t="s">
        <v>76</v>
      </c>
      <c r="C30" s="73">
        <v>1000</v>
      </c>
      <c r="D30" s="81">
        <v>150</v>
      </c>
      <c r="E30" s="69"/>
    </row>
    <row r="31" spans="2:6">
      <c r="B31" s="93" t="s">
        <v>24</v>
      </c>
      <c r="C31" s="73">
        <v>1.5</v>
      </c>
      <c r="D31" s="74">
        <v>3</v>
      </c>
      <c r="E31" s="69"/>
    </row>
    <row r="32" spans="2:6">
      <c r="B32" s="93" t="s">
        <v>25</v>
      </c>
      <c r="C32" s="73">
        <v>1</v>
      </c>
      <c r="D32" s="74">
        <v>1</v>
      </c>
      <c r="E32" s="69"/>
    </row>
    <row r="33" spans="2:5">
      <c r="B33" s="93" t="s">
        <v>17</v>
      </c>
      <c r="C33" s="75">
        <v>0.6</v>
      </c>
      <c r="D33" s="76">
        <v>0.6</v>
      </c>
      <c r="E33" s="69"/>
    </row>
    <row r="34" spans="2:5">
      <c r="B34" s="94" t="s">
        <v>9</v>
      </c>
      <c r="C34" s="95">
        <f>C30*C31*C32*(1-C33)</f>
        <v>600</v>
      </c>
      <c r="D34" s="96">
        <f>D30*D31*D32*(1-D33)</f>
        <v>180</v>
      </c>
      <c r="E34" s="69"/>
    </row>
    <row r="35" spans="2:5">
      <c r="E35" s="69"/>
    </row>
    <row r="36" spans="2:5">
      <c r="C36" s="82"/>
    </row>
  </sheetData>
  <sheetProtection sheet="1" objects="1" scenarios="1"/>
  <mergeCells count="4">
    <mergeCell ref="B1:D1"/>
    <mergeCell ref="B2:E2"/>
    <mergeCell ref="B3:E3"/>
    <mergeCell ref="B4:E4"/>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6"/>
  <sheetViews>
    <sheetView showGridLines="0" zoomScale="125" zoomScaleNormal="125" zoomScalePageLayoutView="125" workbookViewId="0"/>
  </sheetViews>
  <sheetFormatPr baseColWidth="10" defaultRowHeight="11" x14ac:dyDescent="0"/>
  <cols>
    <col min="1" max="1" width="2.5" style="69" customWidth="1"/>
    <col min="2" max="2" width="24.6640625" style="70" customWidth="1"/>
    <col min="3" max="3" width="11.33203125" style="69" bestFit="1" customWidth="1"/>
    <col min="4" max="7" width="10.83203125" style="69"/>
    <col min="8" max="8" width="4.83203125" style="69" customWidth="1"/>
    <col min="9" max="16384" width="10.83203125" style="69"/>
  </cols>
  <sheetData>
    <row r="1" spans="2:11">
      <c r="B1" s="108" t="s">
        <v>110</v>
      </c>
      <c r="C1" s="108"/>
      <c r="D1" s="108"/>
      <c r="E1" s="108"/>
      <c r="F1" s="108"/>
      <c r="G1" s="108"/>
    </row>
    <row r="2" spans="2:11">
      <c r="B2" s="118" t="s">
        <v>111</v>
      </c>
      <c r="C2" s="110"/>
      <c r="D2" s="110"/>
      <c r="E2" s="110"/>
      <c r="F2" s="110"/>
      <c r="G2" s="110"/>
    </row>
    <row r="3" spans="2:11">
      <c r="B3" s="118" t="s">
        <v>112</v>
      </c>
      <c r="C3" s="118"/>
      <c r="D3" s="118"/>
      <c r="E3" s="118"/>
      <c r="F3" s="118"/>
      <c r="G3" s="118"/>
    </row>
    <row r="4" spans="2:11">
      <c r="B4" s="119"/>
      <c r="C4" s="119"/>
      <c r="D4" s="91"/>
      <c r="E4" s="91"/>
      <c r="F4" s="91"/>
      <c r="G4" s="91"/>
    </row>
    <row r="5" spans="2:11">
      <c r="B5" s="112"/>
      <c r="C5" s="112"/>
      <c r="D5" s="91"/>
      <c r="E5" s="91"/>
      <c r="F5" s="91"/>
      <c r="G5" s="91"/>
    </row>
    <row r="6" spans="2:11">
      <c r="B6" s="113"/>
      <c r="C6" s="91"/>
      <c r="D6" s="91"/>
      <c r="E6" s="91"/>
      <c r="F6" s="91"/>
      <c r="G6" s="91"/>
      <c r="I6" s="114" t="s">
        <v>105</v>
      </c>
      <c r="J6" s="115"/>
      <c r="K6" s="115"/>
    </row>
    <row r="7" spans="2:11" s="70" customFormat="1">
      <c r="B7" s="99" t="s">
        <v>33</v>
      </c>
      <c r="C7" s="106" t="s">
        <v>95</v>
      </c>
      <c r="D7" s="106" t="s">
        <v>96</v>
      </c>
      <c r="E7" s="106" t="s">
        <v>97</v>
      </c>
      <c r="F7" s="106" t="s">
        <v>98</v>
      </c>
      <c r="G7" s="106" t="s">
        <v>99</v>
      </c>
      <c r="I7" s="116">
        <v>0.03</v>
      </c>
      <c r="J7" s="122" t="s">
        <v>113</v>
      </c>
    </row>
    <row r="8" spans="2:11">
      <c r="B8" s="92" t="s">
        <v>2</v>
      </c>
      <c r="C8" s="120"/>
      <c r="D8" s="120"/>
      <c r="E8" s="120"/>
      <c r="F8" s="120"/>
      <c r="G8" s="120"/>
    </row>
    <row r="9" spans="2:11">
      <c r="B9" s="93" t="s">
        <v>76</v>
      </c>
      <c r="C9" s="117">
        <f>'Farmer IS'!D9</f>
        <v>1000</v>
      </c>
      <c r="D9" s="117">
        <f>(1+$I$7)*C9</f>
        <v>1030</v>
      </c>
      <c r="E9" s="117">
        <f t="shared" ref="E9:G9" si="0">(1+$I$7)*D9</f>
        <v>1060.9000000000001</v>
      </c>
      <c r="F9" s="117">
        <f t="shared" si="0"/>
        <v>1092.7270000000001</v>
      </c>
      <c r="G9" s="117">
        <f t="shared" si="0"/>
        <v>1125.50881</v>
      </c>
    </row>
    <row r="10" spans="2:11">
      <c r="B10" s="93" t="s">
        <v>24</v>
      </c>
      <c r="C10" s="73">
        <f>'Farmer IS'!D10</f>
        <v>1.5</v>
      </c>
      <c r="D10" s="73">
        <f>C10</f>
        <v>1.5</v>
      </c>
      <c r="E10" s="73">
        <f t="shared" ref="E10:G10" si="1">D10</f>
        <v>1.5</v>
      </c>
      <c r="F10" s="73">
        <f t="shared" si="1"/>
        <v>1.5</v>
      </c>
      <c r="G10" s="73">
        <f t="shared" si="1"/>
        <v>1.5</v>
      </c>
    </row>
    <row r="11" spans="2:11">
      <c r="B11" s="93" t="s">
        <v>25</v>
      </c>
      <c r="C11" s="73">
        <v>1</v>
      </c>
      <c r="D11" s="73">
        <v>2</v>
      </c>
      <c r="E11" s="73">
        <v>2</v>
      </c>
      <c r="F11" s="73">
        <v>3</v>
      </c>
      <c r="G11" s="73">
        <v>3</v>
      </c>
    </row>
    <row r="12" spans="2:11">
      <c r="B12" s="93" t="s">
        <v>17</v>
      </c>
      <c r="C12" s="75">
        <v>0.6</v>
      </c>
      <c r="D12" s="75">
        <v>0.4</v>
      </c>
      <c r="E12" s="75">
        <v>0.4</v>
      </c>
      <c r="F12" s="75">
        <v>0.3</v>
      </c>
      <c r="G12" s="75">
        <v>0.3</v>
      </c>
    </row>
    <row r="13" spans="2:11">
      <c r="B13" s="100" t="s">
        <v>9</v>
      </c>
      <c r="C13" s="83">
        <f>C9*C10*C11*(1-C12)</f>
        <v>600</v>
      </c>
      <c r="D13" s="83">
        <f t="shared" ref="D13:G13" si="2">D9*D10*D11*(1-D12)</f>
        <v>1854</v>
      </c>
      <c r="E13" s="83">
        <f t="shared" si="2"/>
        <v>1909.6200000000001</v>
      </c>
      <c r="F13" s="83">
        <f t="shared" si="2"/>
        <v>3442.0900500000002</v>
      </c>
      <c r="G13" s="83">
        <f t="shared" si="2"/>
        <v>3545.3527514999996</v>
      </c>
    </row>
    <row r="14" spans="2:11">
      <c r="B14" s="101"/>
      <c r="C14" s="93"/>
      <c r="D14" s="93"/>
      <c r="E14" s="93"/>
      <c r="F14" s="93"/>
      <c r="G14" s="93"/>
    </row>
    <row r="15" spans="2:11">
      <c r="B15" s="102" t="s">
        <v>4</v>
      </c>
      <c r="C15" s="121"/>
      <c r="D15" s="121"/>
      <c r="E15" s="121"/>
      <c r="F15" s="121"/>
      <c r="G15" s="121"/>
    </row>
    <row r="16" spans="2:11">
      <c r="B16" s="103" t="s">
        <v>5</v>
      </c>
      <c r="C16" s="79">
        <f>'Farmer IS'!D16</f>
        <v>62</v>
      </c>
      <c r="D16" s="79">
        <f>C16*2</f>
        <v>124</v>
      </c>
      <c r="E16" s="79">
        <f>D16</f>
        <v>124</v>
      </c>
      <c r="F16" s="79">
        <f>C16*3</f>
        <v>186</v>
      </c>
      <c r="G16" s="79">
        <f>F16</f>
        <v>186</v>
      </c>
    </row>
    <row r="17" spans="2:7">
      <c r="B17" s="103" t="s">
        <v>6</v>
      </c>
      <c r="C17" s="79">
        <f>'Farmer IS'!D17</f>
        <v>50</v>
      </c>
      <c r="D17" s="79">
        <f>C17*2</f>
        <v>100</v>
      </c>
      <c r="E17" s="79">
        <f>D17</f>
        <v>100</v>
      </c>
      <c r="F17" s="79">
        <f>C17*3</f>
        <v>150</v>
      </c>
      <c r="G17" s="79">
        <f>F17</f>
        <v>150</v>
      </c>
    </row>
    <row r="18" spans="2:7">
      <c r="B18" s="93" t="s">
        <v>10</v>
      </c>
      <c r="C18" s="79">
        <f>'Farmer IS'!D18</f>
        <v>1</v>
      </c>
      <c r="D18" s="79">
        <f>'Farmer IS'!E18</f>
        <v>1</v>
      </c>
      <c r="E18" s="79">
        <f>20</f>
        <v>20</v>
      </c>
      <c r="F18" s="79">
        <f>20</f>
        <v>20</v>
      </c>
      <c r="G18" s="79">
        <f>40</f>
        <v>40</v>
      </c>
    </row>
    <row r="19" spans="2:7">
      <c r="B19" s="104" t="s">
        <v>117</v>
      </c>
      <c r="C19" s="79">
        <v>1</v>
      </c>
      <c r="D19" s="79">
        <v>1</v>
      </c>
      <c r="E19" s="79">
        <v>1</v>
      </c>
      <c r="F19" s="79">
        <v>1</v>
      </c>
      <c r="G19" s="79">
        <v>1</v>
      </c>
    </row>
    <row r="20" spans="2:7">
      <c r="B20" s="100" t="s">
        <v>8</v>
      </c>
      <c r="C20" s="83">
        <f>SUM(C16:C19)</f>
        <v>114</v>
      </c>
      <c r="D20" s="83">
        <f t="shared" ref="D20:G20" si="3">SUM(D16:D19)</f>
        <v>226</v>
      </c>
      <c r="E20" s="83">
        <f t="shared" si="3"/>
        <v>245</v>
      </c>
      <c r="F20" s="83">
        <f t="shared" si="3"/>
        <v>357</v>
      </c>
      <c r="G20" s="83">
        <f t="shared" si="3"/>
        <v>377</v>
      </c>
    </row>
    <row r="21" spans="2:7">
      <c r="B21" s="93"/>
      <c r="C21" s="85"/>
      <c r="D21" s="85"/>
      <c r="E21" s="85"/>
      <c r="F21" s="85"/>
      <c r="G21" s="85"/>
    </row>
    <row r="22" spans="2:7" ht="12" thickBot="1">
      <c r="B22" s="105" t="s">
        <v>7</v>
      </c>
      <c r="C22" s="87">
        <f>C13-C20</f>
        <v>486</v>
      </c>
      <c r="D22" s="87">
        <f t="shared" ref="D22:G22" si="4">D13-D20</f>
        <v>1628</v>
      </c>
      <c r="E22" s="87">
        <f t="shared" si="4"/>
        <v>1664.6200000000001</v>
      </c>
      <c r="F22" s="87">
        <f t="shared" si="4"/>
        <v>3085.0900500000002</v>
      </c>
      <c r="G22" s="87">
        <f t="shared" si="4"/>
        <v>3168.3527514999996</v>
      </c>
    </row>
    <row r="23" spans="2:7" ht="12" thickTop="1">
      <c r="B23" s="100" t="s">
        <v>65</v>
      </c>
      <c r="C23" s="89">
        <f>C22/C13</f>
        <v>0.81</v>
      </c>
      <c r="D23" s="89">
        <f t="shared" ref="D23:G23" si="5">D22/D13</f>
        <v>0.87810140237324708</v>
      </c>
      <c r="E23" s="89">
        <f t="shared" si="5"/>
        <v>0.87170222347901682</v>
      </c>
      <c r="F23" s="89">
        <f t="shared" si="5"/>
        <v>0.89628394527330857</v>
      </c>
      <c r="G23" s="89">
        <f t="shared" si="5"/>
        <v>0.89366361363040803</v>
      </c>
    </row>
    <row r="24" spans="2:7">
      <c r="B24" s="69"/>
    </row>
    <row r="26" spans="2:7">
      <c r="C26" s="82"/>
    </row>
  </sheetData>
  <sheetProtection sheet="1" objects="1" scenarios="1"/>
  <mergeCells count="3">
    <mergeCell ref="B1:G1"/>
    <mergeCell ref="B2:G2"/>
    <mergeCell ref="B3:G3"/>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L51"/>
  <sheetViews>
    <sheetView showGridLines="0" zoomScale="125" zoomScaleNormal="125" zoomScalePageLayoutView="125" workbookViewId="0"/>
  </sheetViews>
  <sheetFormatPr baseColWidth="10" defaultRowHeight="12" x14ac:dyDescent="0"/>
  <cols>
    <col min="1" max="1" width="2.6640625" style="115" customWidth="1"/>
    <col min="2" max="2" width="27.83203125" style="70" bestFit="1" customWidth="1"/>
    <col min="3" max="4" width="13.1640625" style="115" bestFit="1" customWidth="1"/>
    <col min="5" max="5" width="1.5" style="123" customWidth="1"/>
    <col min="6" max="7" width="15" style="115" bestFit="1" customWidth="1"/>
    <col min="8" max="16384" width="10.83203125" style="115"/>
  </cols>
  <sheetData>
    <row r="1" spans="2:11">
      <c r="B1" s="108" t="s">
        <v>13</v>
      </c>
      <c r="C1" s="108"/>
      <c r="D1" s="108"/>
      <c r="E1" s="150"/>
    </row>
    <row r="2" spans="2:11" s="69" customFormat="1" ht="11">
      <c r="B2" s="110" t="s">
        <v>85</v>
      </c>
      <c r="C2" s="110"/>
      <c r="D2" s="110"/>
      <c r="E2" s="110"/>
    </row>
    <row r="3" spans="2:11" s="69" customFormat="1" ht="11">
      <c r="B3" s="110" t="s">
        <v>89</v>
      </c>
      <c r="C3" s="110"/>
      <c r="D3" s="110"/>
      <c r="E3" s="110"/>
      <c r="F3" s="91"/>
      <c r="G3" s="91"/>
      <c r="H3" s="91"/>
      <c r="I3" s="91"/>
      <c r="J3" s="91"/>
      <c r="K3" s="91"/>
    </row>
    <row r="4" spans="2:11">
      <c r="B4" s="113"/>
      <c r="C4" s="151"/>
      <c r="D4" s="151"/>
      <c r="E4" s="150"/>
      <c r="F4" s="151"/>
      <c r="G4" s="151"/>
      <c r="H4" s="151"/>
      <c r="I4" s="151"/>
      <c r="J4" s="151"/>
      <c r="K4" s="151"/>
    </row>
    <row r="5" spans="2:11" s="70" customFormat="1" ht="11">
      <c r="B5" s="99" t="s">
        <v>33</v>
      </c>
      <c r="C5" s="97" t="s">
        <v>11</v>
      </c>
      <c r="D5" s="107" t="s">
        <v>12</v>
      </c>
      <c r="E5" s="152"/>
      <c r="F5" s="152" t="s">
        <v>3</v>
      </c>
      <c r="G5" s="152"/>
      <c r="H5" s="152"/>
      <c r="I5" s="152"/>
      <c r="J5" s="152"/>
      <c r="K5" s="152"/>
    </row>
    <row r="6" spans="2:11">
      <c r="B6" s="92" t="s">
        <v>2</v>
      </c>
      <c r="C6" s="153"/>
      <c r="D6" s="154"/>
      <c r="E6" s="150"/>
      <c r="F6" s="170"/>
      <c r="G6" s="151"/>
      <c r="H6" s="151"/>
      <c r="I6" s="151"/>
      <c r="J6" s="151"/>
      <c r="K6" s="151"/>
    </row>
    <row r="7" spans="2:11">
      <c r="B7" s="155" t="s">
        <v>26</v>
      </c>
      <c r="C7" s="124">
        <v>0.5</v>
      </c>
      <c r="D7" s="125">
        <v>0.5</v>
      </c>
      <c r="F7" s="170"/>
      <c r="G7" s="151"/>
      <c r="H7" s="151"/>
      <c r="I7" s="151"/>
      <c r="J7" s="151"/>
      <c r="K7" s="151"/>
    </row>
    <row r="8" spans="2:11">
      <c r="B8" s="156" t="s">
        <v>28</v>
      </c>
      <c r="C8" s="126">
        <v>0.25</v>
      </c>
      <c r="D8" s="127">
        <v>0.25</v>
      </c>
      <c r="F8" s="170"/>
      <c r="G8" s="151"/>
      <c r="H8" s="151"/>
      <c r="I8" s="151"/>
      <c r="J8" s="151"/>
      <c r="K8" s="151"/>
    </row>
    <row r="9" spans="2:11">
      <c r="B9" s="157" t="s">
        <v>29</v>
      </c>
      <c r="C9" s="128">
        <v>0.25</v>
      </c>
      <c r="D9" s="129">
        <v>0.25</v>
      </c>
      <c r="F9" s="181">
        <f>SUM(C7:C9)</f>
        <v>1</v>
      </c>
      <c r="G9" s="182">
        <f>SUM(D7:D9)</f>
        <v>1</v>
      </c>
      <c r="H9" s="151"/>
      <c r="I9" s="151"/>
      <c r="J9" s="151"/>
      <c r="K9" s="151"/>
    </row>
    <row r="10" spans="2:11">
      <c r="B10" s="158" t="s">
        <v>81</v>
      </c>
      <c r="C10" s="130"/>
      <c r="D10" s="131"/>
      <c r="F10" s="151"/>
      <c r="G10" s="151"/>
      <c r="H10" s="151"/>
      <c r="I10" s="183" t="s">
        <v>88</v>
      </c>
      <c r="J10" s="151"/>
      <c r="K10" s="151"/>
    </row>
    <row r="11" spans="2:11">
      <c r="B11" s="156" t="s">
        <v>37</v>
      </c>
      <c r="C11" s="179">
        <f>'Sale Prices'!G9</f>
        <v>48.5</v>
      </c>
      <c r="D11" s="180">
        <f>C11</f>
        <v>48.5</v>
      </c>
      <c r="F11" s="170"/>
      <c r="G11" s="151"/>
      <c r="H11" s="151"/>
      <c r="I11" s="184">
        <f>'Sale Prices'!G4</f>
        <v>75.2</v>
      </c>
      <c r="J11" s="170" t="s">
        <v>39</v>
      </c>
      <c r="K11" s="170" t="s">
        <v>18</v>
      </c>
    </row>
    <row r="12" spans="2:11">
      <c r="B12" s="156" t="s">
        <v>20</v>
      </c>
      <c r="C12" s="130">
        <f>C7*C27*100</f>
        <v>5000</v>
      </c>
      <c r="D12" s="131">
        <f>D7*D27*100</f>
        <v>5000</v>
      </c>
      <c r="F12" s="151"/>
      <c r="G12" s="151"/>
      <c r="H12" s="151"/>
      <c r="I12" s="151"/>
      <c r="J12" s="151"/>
      <c r="K12" s="151"/>
    </row>
    <row r="13" spans="2:11">
      <c r="B13" s="158" t="s">
        <v>82</v>
      </c>
      <c r="C13" s="130"/>
      <c r="D13" s="131"/>
      <c r="F13" s="151"/>
      <c r="G13" s="151"/>
      <c r="H13" s="151"/>
      <c r="I13" s="151"/>
      <c r="J13" s="151"/>
      <c r="K13" s="151"/>
    </row>
    <row r="14" spans="2:11">
      <c r="B14" s="156" t="s">
        <v>37</v>
      </c>
      <c r="C14" s="179">
        <f>'Sale Prices'!G19</f>
        <v>22.5</v>
      </c>
      <c r="D14" s="180">
        <f>C14</f>
        <v>22.5</v>
      </c>
      <c r="F14" s="170"/>
      <c r="G14" s="151"/>
      <c r="H14" s="151"/>
      <c r="I14" s="184">
        <f>'Sale Prices'!G17</f>
        <v>41.687587168758718</v>
      </c>
      <c r="J14" s="170" t="s">
        <v>39</v>
      </c>
      <c r="K14" s="170" t="s">
        <v>19</v>
      </c>
    </row>
    <row r="15" spans="2:11">
      <c r="B15" s="156" t="s">
        <v>20</v>
      </c>
      <c r="C15" s="130">
        <f>C8*C27*100</f>
        <v>2500</v>
      </c>
      <c r="D15" s="131">
        <f>D8*D27*100</f>
        <v>2500</v>
      </c>
      <c r="F15" s="151"/>
      <c r="G15" s="151"/>
      <c r="H15" s="151"/>
      <c r="I15" s="151"/>
      <c r="J15" s="151"/>
      <c r="K15" s="151"/>
    </row>
    <row r="16" spans="2:11">
      <c r="B16" s="158" t="s">
        <v>27</v>
      </c>
      <c r="C16" s="130"/>
      <c r="D16" s="131"/>
      <c r="F16" s="151"/>
      <c r="G16" s="151"/>
      <c r="H16" s="151"/>
      <c r="I16" s="151"/>
      <c r="J16" s="151"/>
      <c r="K16" s="151"/>
    </row>
    <row r="17" spans="2:12">
      <c r="B17" s="156" t="s">
        <v>37</v>
      </c>
      <c r="C17" s="179">
        <v>30.3</v>
      </c>
      <c r="D17" s="180">
        <f>C17</f>
        <v>30.3</v>
      </c>
      <c r="F17" s="170"/>
      <c r="G17" s="151"/>
      <c r="H17" s="151"/>
      <c r="I17" s="185">
        <v>70.709999999999994</v>
      </c>
      <c r="J17" s="170" t="s">
        <v>39</v>
      </c>
      <c r="K17" s="170" t="s">
        <v>27</v>
      </c>
    </row>
    <row r="18" spans="2:12">
      <c r="B18" s="156" t="s">
        <v>20</v>
      </c>
      <c r="C18" s="130">
        <f>C9*C27*100</f>
        <v>2500</v>
      </c>
      <c r="D18" s="131">
        <f>D9*D27*100</f>
        <v>2500</v>
      </c>
    </row>
    <row r="19" spans="2:12">
      <c r="B19" s="155" t="s">
        <v>35</v>
      </c>
      <c r="C19" s="132">
        <v>100</v>
      </c>
      <c r="D19" s="133">
        <v>100</v>
      </c>
    </row>
    <row r="20" spans="2:12">
      <c r="B20" s="157" t="s">
        <v>36</v>
      </c>
      <c r="C20" s="134">
        <v>25</v>
      </c>
      <c r="D20" s="135">
        <v>25</v>
      </c>
    </row>
    <row r="21" spans="2:12">
      <c r="B21" s="159" t="s">
        <v>118</v>
      </c>
      <c r="C21" s="134">
        <v>5000</v>
      </c>
      <c r="D21" s="135">
        <v>5000</v>
      </c>
    </row>
    <row r="22" spans="2:12">
      <c r="B22" s="100" t="s">
        <v>9</v>
      </c>
      <c r="C22" s="178">
        <f>C11*C12+C14*C15+C17*C18+C19*C20+C21</f>
        <v>382000</v>
      </c>
      <c r="D22" s="178">
        <f>D11*D12+D14*D15+D17*D18+D19*D20+D21</f>
        <v>382000</v>
      </c>
      <c r="F22" s="136"/>
      <c r="G22" s="136"/>
      <c r="H22" s="69"/>
    </row>
    <row r="23" spans="2:12">
      <c r="B23" s="101"/>
      <c r="C23" s="130"/>
      <c r="D23" s="131"/>
    </row>
    <row r="24" spans="2:12">
      <c r="B24" s="102" t="s">
        <v>4</v>
      </c>
      <c r="C24" s="137"/>
      <c r="D24" s="138"/>
    </row>
    <row r="25" spans="2:12">
      <c r="B25" s="93" t="s">
        <v>83</v>
      </c>
      <c r="C25" s="176">
        <f>C27*100</f>
        <v>10000</v>
      </c>
      <c r="D25" s="177">
        <f>D27*100</f>
        <v>10000</v>
      </c>
    </row>
    <row r="26" spans="2:12">
      <c r="B26" s="155" t="s">
        <v>22</v>
      </c>
      <c r="C26" s="139">
        <v>1200</v>
      </c>
      <c r="D26" s="140">
        <v>800</v>
      </c>
    </row>
    <row r="27" spans="2:12">
      <c r="B27" s="156" t="s">
        <v>23</v>
      </c>
      <c r="C27" s="141">
        <v>100</v>
      </c>
      <c r="D27" s="142">
        <v>100</v>
      </c>
    </row>
    <row r="28" spans="2:12">
      <c r="B28" s="160" t="s">
        <v>14</v>
      </c>
      <c r="C28" s="174">
        <f>C26*C27</f>
        <v>120000</v>
      </c>
      <c r="D28" s="175">
        <f>D26*D27</f>
        <v>80000</v>
      </c>
    </row>
    <row r="29" spans="2:12">
      <c r="B29" s="161" t="s">
        <v>16</v>
      </c>
      <c r="C29" s="143">
        <v>1155</v>
      </c>
      <c r="D29" s="144">
        <v>1155</v>
      </c>
    </row>
    <row r="30" spans="2:12">
      <c r="B30" s="161" t="s">
        <v>15</v>
      </c>
      <c r="C30" s="143">
        <f>50*C27</f>
        <v>5000</v>
      </c>
      <c r="D30" s="144">
        <f>30*D27</f>
        <v>3000</v>
      </c>
      <c r="F30" s="170" t="s">
        <v>31</v>
      </c>
      <c r="G30" s="151"/>
      <c r="H30" s="151"/>
      <c r="I30" s="151"/>
      <c r="J30" s="151"/>
      <c r="K30" s="151"/>
      <c r="L30" s="151"/>
    </row>
    <row r="31" spans="2:12">
      <c r="B31" s="93" t="s">
        <v>61</v>
      </c>
      <c r="C31" s="143">
        <f>12*30*C19</f>
        <v>36000</v>
      </c>
      <c r="D31" s="144">
        <f>C31</f>
        <v>36000</v>
      </c>
      <c r="F31" s="91" t="s">
        <v>63</v>
      </c>
      <c r="G31" s="151"/>
      <c r="H31" s="151"/>
      <c r="I31" s="151"/>
      <c r="J31" s="151"/>
      <c r="K31" s="151"/>
      <c r="L31" s="151"/>
    </row>
    <row r="32" spans="2:12">
      <c r="B32" s="104" t="s">
        <v>103</v>
      </c>
      <c r="C32" s="143">
        <v>40000</v>
      </c>
      <c r="D32" s="144">
        <v>20000</v>
      </c>
      <c r="F32" s="122" t="s">
        <v>100</v>
      </c>
      <c r="G32" s="151"/>
      <c r="H32" s="151"/>
      <c r="I32" s="151"/>
      <c r="J32" s="151"/>
      <c r="K32" s="151"/>
      <c r="L32" s="151"/>
    </row>
    <row r="33" spans="2:12">
      <c r="B33" s="104" t="s">
        <v>102</v>
      </c>
      <c r="C33" s="145">
        <f>F17/3.125*12.5</f>
        <v>0</v>
      </c>
      <c r="D33" s="146">
        <f>C33</f>
        <v>0</v>
      </c>
      <c r="F33" s="122" t="s">
        <v>101</v>
      </c>
      <c r="G33" s="151"/>
      <c r="H33" s="151"/>
      <c r="I33" s="151"/>
      <c r="J33" s="151"/>
      <c r="K33" s="151">
        <v>100</v>
      </c>
      <c r="L33" s="171" t="s">
        <v>90</v>
      </c>
    </row>
    <row r="34" spans="2:12">
      <c r="B34" s="156" t="s">
        <v>38</v>
      </c>
      <c r="C34" s="143">
        <f>0.17*C22</f>
        <v>64940.000000000007</v>
      </c>
      <c r="D34" s="144">
        <f>0.17*D22</f>
        <v>64940.000000000007</v>
      </c>
      <c r="F34" s="91" t="s">
        <v>64</v>
      </c>
      <c r="G34" s="151"/>
      <c r="H34" s="151"/>
      <c r="I34" s="151"/>
      <c r="J34" s="151"/>
      <c r="K34" s="151">
        <v>8</v>
      </c>
      <c r="L34" s="171" t="s">
        <v>91</v>
      </c>
    </row>
    <row r="35" spans="2:12">
      <c r="B35" s="156" t="s">
        <v>21</v>
      </c>
      <c r="C35" s="143"/>
      <c r="D35" s="144"/>
      <c r="F35" s="151"/>
      <c r="G35" s="151"/>
      <c r="H35" s="151"/>
      <c r="I35" s="151"/>
      <c r="J35" s="151"/>
      <c r="K35" s="151">
        <f>K33/K34</f>
        <v>12.5</v>
      </c>
      <c r="L35" s="171" t="s">
        <v>92</v>
      </c>
    </row>
    <row r="36" spans="2:12">
      <c r="B36" s="93" t="s">
        <v>77</v>
      </c>
      <c r="C36" s="143">
        <f>8000/3</f>
        <v>2666.6666666666665</v>
      </c>
      <c r="D36" s="144">
        <f>6000/3</f>
        <v>2000</v>
      </c>
      <c r="F36" s="151"/>
      <c r="G36" s="151"/>
      <c r="H36" s="151"/>
      <c r="I36" s="151"/>
      <c r="J36" s="151"/>
      <c r="K36" s="151"/>
      <c r="L36" s="151"/>
    </row>
    <row r="37" spans="2:12">
      <c r="B37" s="156" t="s">
        <v>30</v>
      </c>
      <c r="C37" s="143">
        <v>400</v>
      </c>
      <c r="D37" s="144">
        <v>200</v>
      </c>
      <c r="F37" s="151"/>
      <c r="G37" s="151"/>
      <c r="H37" s="151"/>
      <c r="I37" s="151"/>
      <c r="J37" s="151"/>
      <c r="K37" s="151"/>
      <c r="L37" s="151"/>
    </row>
    <row r="38" spans="2:12">
      <c r="B38" s="156" t="s">
        <v>32</v>
      </c>
      <c r="C38" s="143">
        <f>12500/3</f>
        <v>4166.666666666667</v>
      </c>
      <c r="D38" s="144">
        <f>C38</f>
        <v>4166.666666666667</v>
      </c>
      <c r="F38" s="170" t="s">
        <v>34</v>
      </c>
      <c r="G38" s="151"/>
      <c r="H38" s="151"/>
      <c r="I38" s="151"/>
      <c r="J38" s="151"/>
      <c r="K38" s="151"/>
      <c r="L38" s="151"/>
    </row>
    <row r="39" spans="2:12">
      <c r="B39" s="93" t="s">
        <v>78</v>
      </c>
      <c r="C39" s="147">
        <v>50000</v>
      </c>
      <c r="D39" s="148">
        <v>25000</v>
      </c>
      <c r="F39" s="122" t="s">
        <v>100</v>
      </c>
      <c r="G39" s="151"/>
      <c r="H39" s="151"/>
      <c r="I39" s="151"/>
      <c r="J39" s="151"/>
      <c r="K39" s="151"/>
      <c r="L39" s="151"/>
    </row>
    <row r="40" spans="2:12">
      <c r="B40" s="93" t="s">
        <v>79</v>
      </c>
      <c r="C40" s="147">
        <v>10000</v>
      </c>
      <c r="D40" s="148">
        <v>5000</v>
      </c>
      <c r="F40" s="122" t="s">
        <v>100</v>
      </c>
      <c r="G40" s="151"/>
      <c r="H40" s="151"/>
      <c r="I40" s="151"/>
      <c r="J40" s="151"/>
      <c r="K40" s="151"/>
      <c r="L40" s="151"/>
    </row>
    <row r="41" spans="2:12">
      <c r="B41" s="93" t="s">
        <v>62</v>
      </c>
      <c r="C41" s="147">
        <v>10000</v>
      </c>
      <c r="D41" s="148">
        <v>5000</v>
      </c>
      <c r="F41" s="122" t="s">
        <v>100</v>
      </c>
      <c r="G41" s="151"/>
      <c r="H41" s="151"/>
      <c r="I41" s="151"/>
      <c r="J41" s="151"/>
      <c r="K41" s="151"/>
      <c r="L41" s="151"/>
    </row>
    <row r="42" spans="2:12">
      <c r="B42" s="104" t="s">
        <v>117</v>
      </c>
      <c r="C42" s="143">
        <v>1</v>
      </c>
      <c r="D42" s="144">
        <v>1</v>
      </c>
      <c r="F42" s="151"/>
      <c r="G42" s="151"/>
      <c r="H42" s="151"/>
      <c r="I42" s="151"/>
      <c r="J42" s="151"/>
      <c r="K42" s="151"/>
      <c r="L42" s="151"/>
    </row>
    <row r="43" spans="2:12" s="123" customFormat="1">
      <c r="B43" s="100" t="s">
        <v>8</v>
      </c>
      <c r="C43" s="163">
        <f>SUM(C28:C42)</f>
        <v>344329.33333333337</v>
      </c>
      <c r="D43" s="164">
        <f>SUM(D28:D42)</f>
        <v>246462.66666666666</v>
      </c>
      <c r="F43" s="151"/>
      <c r="G43" s="150"/>
      <c r="H43" s="150"/>
      <c r="I43" s="150"/>
      <c r="J43" s="150"/>
      <c r="K43" s="150"/>
      <c r="L43" s="150"/>
    </row>
    <row r="44" spans="2:12" s="123" customFormat="1">
      <c r="B44" s="161"/>
      <c r="C44" s="165"/>
      <c r="D44" s="166"/>
      <c r="F44" s="151"/>
      <c r="G44" s="150"/>
      <c r="H44" s="150"/>
      <c r="I44" s="150"/>
      <c r="J44" s="150"/>
      <c r="K44" s="150"/>
      <c r="L44" s="150"/>
    </row>
    <row r="45" spans="2:12" s="123" customFormat="1" ht="13" thickBot="1">
      <c r="B45" s="105" t="s">
        <v>7</v>
      </c>
      <c r="C45" s="167">
        <f>C22-C43</f>
        <v>37670.666666666628</v>
      </c>
      <c r="D45" s="88">
        <f>D22-D43</f>
        <v>135537.33333333334</v>
      </c>
      <c r="F45" s="172"/>
      <c r="G45" s="172"/>
      <c r="H45" s="173"/>
      <c r="I45" s="150"/>
      <c r="J45" s="150"/>
      <c r="K45" s="150"/>
      <c r="L45" s="150"/>
    </row>
    <row r="46" spans="2:12" s="123" customFormat="1" ht="13" thickTop="1">
      <c r="B46" s="100" t="s">
        <v>65</v>
      </c>
      <c r="C46" s="168">
        <f>C45/C22</f>
        <v>9.8614310645724151E-2</v>
      </c>
      <c r="D46" s="169">
        <f>D45/D22</f>
        <v>0.35480977312390927</v>
      </c>
      <c r="F46" s="151"/>
      <c r="G46" s="150"/>
      <c r="H46" s="150"/>
      <c r="I46" s="150"/>
      <c r="J46" s="150"/>
      <c r="K46" s="150"/>
      <c r="L46" s="150"/>
    </row>
    <row r="47" spans="2:12" s="123" customFormat="1">
      <c r="B47" s="149"/>
      <c r="C47" s="115"/>
      <c r="D47" s="115"/>
      <c r="F47" s="115"/>
    </row>
    <row r="48" spans="2:12" s="123" customFormat="1">
      <c r="B48" s="149"/>
      <c r="C48" s="115"/>
      <c r="D48" s="115"/>
      <c r="F48" s="115"/>
    </row>
    <row r="49" spans="2:6" s="123" customFormat="1">
      <c r="B49" s="149"/>
      <c r="C49" s="115"/>
      <c r="D49" s="115"/>
      <c r="F49" s="115"/>
    </row>
    <row r="50" spans="2:6" s="123" customFormat="1">
      <c r="B50" s="149"/>
      <c r="C50" s="115"/>
      <c r="D50" s="115"/>
      <c r="F50" s="115"/>
    </row>
    <row r="51" spans="2:6" s="123" customFormat="1">
      <c r="B51" s="149"/>
      <c r="C51" s="115"/>
      <c r="D51" s="115"/>
      <c r="F51" s="115"/>
    </row>
  </sheetData>
  <sheetProtection sheet="1" objects="1" scenarios="1"/>
  <mergeCells count="3">
    <mergeCell ref="B1:D1"/>
    <mergeCell ref="B2:E2"/>
    <mergeCell ref="B3:E3"/>
  </mergeCells>
  <conditionalFormatting sqref="F9:G9">
    <cfRule type="cellIs" dxfId="1" priority="1" operator="lessThan">
      <formula>1</formula>
    </cfRule>
    <cfRule type="cellIs" dxfId="0" priority="2" operator="greaterThan">
      <formula>1</formula>
    </cfRule>
  </conditionalFormatting>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51"/>
  <sheetViews>
    <sheetView showGridLines="0" zoomScale="125" zoomScaleNormal="125" zoomScalePageLayoutView="125" workbookViewId="0"/>
  </sheetViews>
  <sheetFormatPr baseColWidth="10" defaultRowHeight="11" x14ac:dyDescent="0"/>
  <cols>
    <col min="1" max="1" width="2.5" style="115" customWidth="1"/>
    <col min="2" max="2" width="27.83203125" style="70" bestFit="1" customWidth="1"/>
    <col min="3" max="3" width="13.1640625" style="115" bestFit="1" customWidth="1"/>
    <col min="4" max="4" width="14" style="115" bestFit="1" customWidth="1"/>
    <col min="5" max="7" width="13.1640625" style="115" bestFit="1" customWidth="1"/>
    <col min="8" max="8" width="4.1640625" style="115" customWidth="1"/>
    <col min="9" max="9" width="10.83203125" style="186"/>
    <col min="10" max="16384" width="10.83203125" style="115"/>
  </cols>
  <sheetData>
    <row r="1" spans="2:13">
      <c r="B1" s="108" t="s">
        <v>107</v>
      </c>
      <c r="C1" s="108"/>
      <c r="D1" s="108"/>
      <c r="E1" s="108"/>
      <c r="F1" s="108"/>
      <c r="G1" s="108"/>
    </row>
    <row r="2" spans="2:13" s="69" customFormat="1">
      <c r="B2" s="118" t="s">
        <v>108</v>
      </c>
      <c r="C2" s="110"/>
      <c r="D2" s="110"/>
      <c r="E2" s="110"/>
      <c r="F2" s="110"/>
      <c r="G2" s="110"/>
      <c r="I2" s="205"/>
      <c r="J2" s="91"/>
      <c r="K2" s="91"/>
      <c r="L2" s="91"/>
      <c r="M2" s="91"/>
    </row>
    <row r="3" spans="2:13" s="69" customFormat="1">
      <c r="B3" s="118" t="s">
        <v>109</v>
      </c>
      <c r="C3" s="110"/>
      <c r="D3" s="110"/>
      <c r="E3" s="110"/>
      <c r="F3" s="110"/>
      <c r="G3" s="110"/>
      <c r="I3" s="205"/>
      <c r="J3" s="91"/>
      <c r="K3" s="91"/>
      <c r="L3" s="91"/>
      <c r="M3" s="91"/>
    </row>
    <row r="4" spans="2:13">
      <c r="B4" s="113"/>
      <c r="C4" s="151"/>
      <c r="D4" s="151"/>
      <c r="E4" s="151"/>
      <c r="F4" s="151"/>
      <c r="G4" s="151"/>
      <c r="I4" s="206" t="s">
        <v>105</v>
      </c>
      <c r="J4" s="151"/>
      <c r="K4" s="151"/>
      <c r="L4" s="151"/>
      <c r="M4" s="151"/>
    </row>
    <row r="5" spans="2:13" s="70" customFormat="1">
      <c r="B5" s="99" t="s">
        <v>33</v>
      </c>
      <c r="C5" s="97" t="s">
        <v>95</v>
      </c>
      <c r="D5" s="97" t="s">
        <v>96</v>
      </c>
      <c r="E5" s="97" t="s">
        <v>97</v>
      </c>
      <c r="F5" s="97" t="s">
        <v>98</v>
      </c>
      <c r="G5" s="106" t="s">
        <v>99</v>
      </c>
      <c r="I5" s="207">
        <v>0.03</v>
      </c>
      <c r="J5" s="122" t="s">
        <v>113</v>
      </c>
      <c r="K5" s="152"/>
      <c r="L5" s="152"/>
      <c r="M5" s="152"/>
    </row>
    <row r="6" spans="2:13">
      <c r="B6" s="92" t="s">
        <v>2</v>
      </c>
      <c r="C6" s="153"/>
      <c r="D6" s="153"/>
      <c r="E6" s="153"/>
      <c r="F6" s="153"/>
      <c r="G6" s="154"/>
      <c r="I6" s="207">
        <v>0.05</v>
      </c>
      <c r="J6" s="122" t="s">
        <v>104</v>
      </c>
      <c r="K6" s="151"/>
      <c r="L6" s="151"/>
      <c r="M6" s="151"/>
    </row>
    <row r="7" spans="2:13">
      <c r="B7" s="155" t="s">
        <v>26</v>
      </c>
      <c r="C7" s="124">
        <v>0.5</v>
      </c>
      <c r="D7" s="124">
        <v>0.5</v>
      </c>
      <c r="E7" s="124">
        <v>0.5</v>
      </c>
      <c r="F7" s="124">
        <v>0.5</v>
      </c>
      <c r="G7" s="125">
        <v>0.5</v>
      </c>
      <c r="I7" s="208"/>
      <c r="J7" s="151"/>
      <c r="K7" s="151"/>
      <c r="L7" s="151"/>
      <c r="M7" s="151"/>
    </row>
    <row r="8" spans="2:13">
      <c r="B8" s="156" t="s">
        <v>28</v>
      </c>
      <c r="C8" s="126">
        <v>0.25</v>
      </c>
      <c r="D8" s="126">
        <v>0.25</v>
      </c>
      <c r="E8" s="126">
        <v>0.25</v>
      </c>
      <c r="F8" s="126">
        <v>0.25</v>
      </c>
      <c r="G8" s="127">
        <v>0.25</v>
      </c>
      <c r="I8" s="209"/>
      <c r="J8" s="151"/>
      <c r="K8" s="151"/>
      <c r="L8" s="151"/>
      <c r="M8" s="151"/>
    </row>
    <row r="9" spans="2:13">
      <c r="B9" s="157" t="s">
        <v>29</v>
      </c>
      <c r="C9" s="128">
        <v>0.25</v>
      </c>
      <c r="D9" s="128">
        <v>0.25</v>
      </c>
      <c r="E9" s="128">
        <v>0.25</v>
      </c>
      <c r="F9" s="128">
        <v>0.25</v>
      </c>
      <c r="G9" s="129">
        <v>0.25</v>
      </c>
      <c r="I9" s="209"/>
      <c r="J9" s="151"/>
      <c r="K9" s="151"/>
      <c r="L9" s="151"/>
      <c r="M9" s="151"/>
    </row>
    <row r="10" spans="2:13">
      <c r="B10" s="158" t="s">
        <v>81</v>
      </c>
      <c r="C10" s="203"/>
      <c r="D10" s="203"/>
      <c r="E10" s="203"/>
      <c r="F10" s="203"/>
      <c r="G10" s="204"/>
      <c r="I10" s="209"/>
      <c r="J10" s="151"/>
      <c r="K10" s="151"/>
      <c r="L10" s="151"/>
      <c r="M10" s="151"/>
    </row>
    <row r="11" spans="2:13">
      <c r="B11" s="156" t="s">
        <v>37</v>
      </c>
      <c r="C11" s="179">
        <f>'Sale Prices'!G9</f>
        <v>48.5</v>
      </c>
      <c r="D11" s="179">
        <f>(1+$I$5)*C11</f>
        <v>49.954999999999998</v>
      </c>
      <c r="E11" s="179">
        <f t="shared" ref="E11:G11" si="0">(1+$I$5)*D11</f>
        <v>51.453649999999996</v>
      </c>
      <c r="F11" s="179">
        <f t="shared" si="0"/>
        <v>52.997259499999998</v>
      </c>
      <c r="G11" s="180">
        <f t="shared" si="0"/>
        <v>54.587177285000003</v>
      </c>
      <c r="I11" s="209"/>
      <c r="J11" s="151"/>
      <c r="K11" s="151"/>
      <c r="L11" s="151"/>
      <c r="M11" s="151"/>
    </row>
    <row r="12" spans="2:13">
      <c r="B12" s="156" t="s">
        <v>20</v>
      </c>
      <c r="C12" s="130">
        <f>C7*C27*100</f>
        <v>5000</v>
      </c>
      <c r="D12" s="187">
        <f>(1+$I$6)*C12</f>
        <v>5250</v>
      </c>
      <c r="E12" s="187">
        <f t="shared" ref="E12:G12" si="1">(1+$I$6)*D12</f>
        <v>5512.5</v>
      </c>
      <c r="F12" s="187">
        <f t="shared" si="1"/>
        <v>5788.125</v>
      </c>
      <c r="G12" s="188">
        <f t="shared" si="1"/>
        <v>6077.53125</v>
      </c>
      <c r="I12" s="209"/>
      <c r="J12" s="151"/>
      <c r="K12" s="151"/>
      <c r="L12" s="151"/>
      <c r="M12" s="151"/>
    </row>
    <row r="13" spans="2:13">
      <c r="B13" s="158" t="s">
        <v>82</v>
      </c>
      <c r="C13" s="203"/>
      <c r="D13" s="203"/>
      <c r="E13" s="203"/>
      <c r="F13" s="203"/>
      <c r="G13" s="204"/>
      <c r="I13" s="209"/>
      <c r="J13" s="151"/>
      <c r="K13" s="151"/>
      <c r="L13" s="151"/>
      <c r="M13" s="151"/>
    </row>
    <row r="14" spans="2:13">
      <c r="B14" s="156" t="s">
        <v>37</v>
      </c>
      <c r="C14" s="179">
        <f>'Sale Prices'!G19</f>
        <v>22.5</v>
      </c>
      <c r="D14" s="179">
        <f>(1+$I$5)*C14</f>
        <v>23.175000000000001</v>
      </c>
      <c r="E14" s="179">
        <f t="shared" ref="E14:G14" si="2">(1+$I$5)*D14</f>
        <v>23.870250000000002</v>
      </c>
      <c r="F14" s="179">
        <f t="shared" si="2"/>
        <v>24.586357500000002</v>
      </c>
      <c r="G14" s="180">
        <f t="shared" si="2"/>
        <v>25.323948225000002</v>
      </c>
      <c r="I14" s="209"/>
      <c r="J14" s="151"/>
      <c r="K14" s="151"/>
      <c r="L14" s="151"/>
      <c r="M14" s="151"/>
    </row>
    <row r="15" spans="2:13">
      <c r="B15" s="156" t="s">
        <v>20</v>
      </c>
      <c r="C15" s="130">
        <f>C8*C27*100</f>
        <v>2500</v>
      </c>
      <c r="D15" s="187">
        <f>(1+$I$6)*C15</f>
        <v>2625</v>
      </c>
      <c r="E15" s="187">
        <f t="shared" ref="E15:G15" si="3">(1+$I$6)*D15</f>
        <v>2756.25</v>
      </c>
      <c r="F15" s="187">
        <f t="shared" si="3"/>
        <v>2894.0625</v>
      </c>
      <c r="G15" s="188">
        <f t="shared" si="3"/>
        <v>3038.765625</v>
      </c>
      <c r="I15" s="209"/>
      <c r="J15" s="151"/>
      <c r="K15" s="151"/>
      <c r="L15" s="151"/>
      <c r="M15" s="151"/>
    </row>
    <row r="16" spans="2:13">
      <c r="B16" s="158" t="s">
        <v>27</v>
      </c>
      <c r="C16" s="203"/>
      <c r="D16" s="203"/>
      <c r="E16" s="203"/>
      <c r="F16" s="203"/>
      <c r="G16" s="204"/>
      <c r="I16" s="209"/>
      <c r="J16" s="151"/>
      <c r="K16" s="151"/>
      <c r="L16" s="151"/>
      <c r="M16" s="151"/>
    </row>
    <row r="17" spans="2:13">
      <c r="B17" s="156" t="s">
        <v>37</v>
      </c>
      <c r="C17" s="179">
        <v>30.3</v>
      </c>
      <c r="D17" s="179">
        <f>(1+$I$5)*C17</f>
        <v>31.209000000000003</v>
      </c>
      <c r="E17" s="179">
        <f t="shared" ref="E17:G17" si="4">(1+$I$5)*D17</f>
        <v>32.145270000000004</v>
      </c>
      <c r="F17" s="179">
        <f t="shared" si="4"/>
        <v>33.109628100000002</v>
      </c>
      <c r="G17" s="180">
        <f t="shared" si="4"/>
        <v>34.102916943000004</v>
      </c>
      <c r="I17" s="209"/>
      <c r="J17" s="151"/>
      <c r="K17" s="151"/>
      <c r="L17" s="151"/>
      <c r="M17" s="151"/>
    </row>
    <row r="18" spans="2:13">
      <c r="B18" s="156" t="s">
        <v>20</v>
      </c>
      <c r="C18" s="130">
        <f>C9*C27*100</f>
        <v>2500</v>
      </c>
      <c r="D18" s="187">
        <f>(1+$I$6)*C18</f>
        <v>2625</v>
      </c>
      <c r="E18" s="187">
        <f t="shared" ref="E18:G18" si="5">(1+$I$6)*D18</f>
        <v>2756.25</v>
      </c>
      <c r="F18" s="187">
        <f t="shared" si="5"/>
        <v>2894.0625</v>
      </c>
      <c r="G18" s="188">
        <f t="shared" si="5"/>
        <v>3038.765625</v>
      </c>
      <c r="I18" s="209"/>
      <c r="J18" s="151"/>
      <c r="K18" s="151"/>
      <c r="L18" s="151"/>
      <c r="M18" s="151"/>
    </row>
    <row r="19" spans="2:13">
      <c r="B19" s="155" t="s">
        <v>35</v>
      </c>
      <c r="C19" s="132">
        <v>100</v>
      </c>
      <c r="D19" s="189">
        <f>(1+$I$6)*C19</f>
        <v>105</v>
      </c>
      <c r="E19" s="189">
        <f t="shared" ref="E19:G19" si="6">(1+$I$6)*D19</f>
        <v>110.25</v>
      </c>
      <c r="F19" s="189">
        <f t="shared" si="6"/>
        <v>115.7625</v>
      </c>
      <c r="G19" s="190">
        <f t="shared" si="6"/>
        <v>121.55062500000001</v>
      </c>
      <c r="I19" s="209"/>
      <c r="J19" s="151"/>
      <c r="K19" s="151"/>
      <c r="L19" s="151"/>
      <c r="M19" s="151"/>
    </row>
    <row r="20" spans="2:13">
      <c r="B20" s="157" t="s">
        <v>36</v>
      </c>
      <c r="C20" s="134">
        <v>25</v>
      </c>
      <c r="D20" s="191">
        <f>(1+$I$5)*C20</f>
        <v>25.75</v>
      </c>
      <c r="E20" s="191">
        <f t="shared" ref="E20:G20" si="7">(1+$I$5)*D20</f>
        <v>26.522500000000001</v>
      </c>
      <c r="F20" s="191">
        <f t="shared" si="7"/>
        <v>27.318175</v>
      </c>
      <c r="G20" s="192">
        <f t="shared" si="7"/>
        <v>28.137720250000001</v>
      </c>
      <c r="I20" s="209"/>
      <c r="J20" s="151"/>
      <c r="K20" s="151"/>
      <c r="L20" s="151"/>
      <c r="M20" s="151"/>
    </row>
    <row r="21" spans="2:13">
      <c r="B21" s="159" t="s">
        <v>118</v>
      </c>
      <c r="C21" s="134">
        <v>5000</v>
      </c>
      <c r="D21" s="191">
        <f>(1+$I$5)*C21</f>
        <v>5150</v>
      </c>
      <c r="E21" s="191">
        <f t="shared" ref="E21:G21" si="8">(1+$I$5)*D21</f>
        <v>5304.5</v>
      </c>
      <c r="F21" s="191">
        <f t="shared" si="8"/>
        <v>5463.6350000000002</v>
      </c>
      <c r="G21" s="191">
        <f t="shared" si="8"/>
        <v>5627.5440500000004</v>
      </c>
      <c r="I21" s="209"/>
      <c r="J21" s="151"/>
      <c r="K21" s="151"/>
      <c r="L21" s="151"/>
      <c r="M21" s="151"/>
    </row>
    <row r="22" spans="2:13">
      <c r="B22" s="100" t="s">
        <v>9</v>
      </c>
      <c r="C22" s="178">
        <f>C11*C12+C14*C15+C17*C18+C19*C20+C21</f>
        <v>382000</v>
      </c>
      <c r="D22" s="178">
        <f t="shared" ref="D22:G22" si="9">D11*D12+D14*D15+D17*D18+D19*D20+D21</f>
        <v>412875.5</v>
      </c>
      <c r="E22" s="178">
        <f t="shared" si="9"/>
        <v>446259.62825000001</v>
      </c>
      <c r="F22" s="178">
        <f t="shared" si="9"/>
        <v>482356.60620237503</v>
      </c>
      <c r="G22" s="178">
        <f t="shared" si="9"/>
        <v>521387.29240536859</v>
      </c>
      <c r="I22" s="209"/>
      <c r="J22" s="151"/>
      <c r="K22" s="151"/>
      <c r="L22" s="151"/>
      <c r="M22" s="151"/>
    </row>
    <row r="23" spans="2:13">
      <c r="B23" s="101"/>
      <c r="C23" s="203"/>
      <c r="D23" s="203"/>
      <c r="E23" s="203"/>
      <c r="F23" s="203"/>
      <c r="G23" s="204"/>
      <c r="I23" s="209"/>
      <c r="J23" s="151"/>
      <c r="K23" s="151"/>
      <c r="L23" s="151"/>
      <c r="M23" s="151"/>
    </row>
    <row r="24" spans="2:13">
      <c r="B24" s="102" t="s">
        <v>4</v>
      </c>
      <c r="C24" s="137"/>
      <c r="D24" s="137"/>
      <c r="E24" s="137"/>
      <c r="F24" s="137"/>
      <c r="G24" s="138"/>
      <c r="I24" s="209"/>
      <c r="J24" s="151"/>
      <c r="K24" s="151"/>
      <c r="L24" s="151"/>
      <c r="M24" s="151"/>
    </row>
    <row r="25" spans="2:13">
      <c r="B25" s="93" t="s">
        <v>83</v>
      </c>
      <c r="C25" s="176">
        <f>C27*100</f>
        <v>10000</v>
      </c>
      <c r="D25" s="176">
        <f t="shared" ref="D25:G25" si="10">D27*100</f>
        <v>10500</v>
      </c>
      <c r="E25" s="176">
        <f t="shared" si="10"/>
        <v>11025</v>
      </c>
      <c r="F25" s="176">
        <f t="shared" si="10"/>
        <v>11576.25</v>
      </c>
      <c r="G25" s="177">
        <f t="shared" si="10"/>
        <v>12155.062500000002</v>
      </c>
      <c r="I25" s="209"/>
      <c r="J25" s="151"/>
      <c r="K25" s="151"/>
      <c r="L25" s="151"/>
      <c r="M25" s="151"/>
    </row>
    <row r="26" spans="2:13">
      <c r="B26" s="155" t="s">
        <v>22</v>
      </c>
      <c r="C26" s="193">
        <v>1000</v>
      </c>
      <c r="D26" s="193">
        <f>(1+$I$5)*C26</f>
        <v>1030</v>
      </c>
      <c r="E26" s="193">
        <f t="shared" ref="E26:G26" si="11">(1+$I$5)*D26</f>
        <v>1060.9000000000001</v>
      </c>
      <c r="F26" s="193">
        <f t="shared" si="11"/>
        <v>1092.7270000000001</v>
      </c>
      <c r="G26" s="194">
        <f t="shared" si="11"/>
        <v>1125.50881</v>
      </c>
      <c r="I26" s="209"/>
      <c r="J26" s="151"/>
      <c r="K26" s="151"/>
      <c r="L26" s="151"/>
      <c r="M26" s="151"/>
    </row>
    <row r="27" spans="2:13">
      <c r="B27" s="156" t="s">
        <v>23</v>
      </c>
      <c r="C27" s="141">
        <v>100</v>
      </c>
      <c r="D27" s="141">
        <f>(1+$I$6)*C27</f>
        <v>105</v>
      </c>
      <c r="E27" s="141">
        <f t="shared" ref="E27:G27" si="12">(1+$I$6)*D27</f>
        <v>110.25</v>
      </c>
      <c r="F27" s="141">
        <f t="shared" si="12"/>
        <v>115.7625</v>
      </c>
      <c r="G27" s="142">
        <f t="shared" si="12"/>
        <v>121.55062500000001</v>
      </c>
      <c r="I27" s="209"/>
      <c r="J27" s="151"/>
      <c r="K27" s="151"/>
      <c r="L27" s="151"/>
      <c r="M27" s="151"/>
    </row>
    <row r="28" spans="2:13">
      <c r="B28" s="160" t="s">
        <v>14</v>
      </c>
      <c r="C28" s="174">
        <f>C26*C27</f>
        <v>100000</v>
      </c>
      <c r="D28" s="174">
        <f t="shared" ref="D28:G28" si="13">D26*D27</f>
        <v>108150</v>
      </c>
      <c r="E28" s="174">
        <f t="shared" si="13"/>
        <v>116964.22500000001</v>
      </c>
      <c r="F28" s="174">
        <f t="shared" si="13"/>
        <v>126496.80933750002</v>
      </c>
      <c r="G28" s="175">
        <f t="shared" si="13"/>
        <v>136806.29929850626</v>
      </c>
      <c r="I28" s="209"/>
      <c r="J28" s="151"/>
      <c r="K28" s="151"/>
      <c r="L28" s="151"/>
      <c r="M28" s="151"/>
    </row>
    <row r="29" spans="2:13">
      <c r="B29" s="161" t="s">
        <v>16</v>
      </c>
      <c r="C29" s="143">
        <v>1155</v>
      </c>
      <c r="D29" s="195">
        <f>(1+$I$5)*C29</f>
        <v>1189.6500000000001</v>
      </c>
      <c r="E29" s="195">
        <f t="shared" ref="E29:G29" si="14">(1+$I$5)*D29</f>
        <v>1225.3395</v>
      </c>
      <c r="F29" s="195">
        <f t="shared" si="14"/>
        <v>1262.0996850000001</v>
      </c>
      <c r="G29" s="196">
        <f t="shared" si="14"/>
        <v>1299.9626755500001</v>
      </c>
      <c r="I29" s="209"/>
      <c r="J29" s="151"/>
      <c r="K29" s="151"/>
      <c r="L29" s="151"/>
      <c r="M29" s="151"/>
    </row>
    <row r="30" spans="2:13">
      <c r="B30" s="161" t="s">
        <v>15</v>
      </c>
      <c r="C30" s="143">
        <v>4000</v>
      </c>
      <c r="D30" s="195">
        <f>(1+$I$5)*C30</f>
        <v>4120</v>
      </c>
      <c r="E30" s="195">
        <f t="shared" ref="E30:G30" si="15">(1+$I$5)*D30</f>
        <v>4243.6000000000004</v>
      </c>
      <c r="F30" s="195">
        <f t="shared" si="15"/>
        <v>4370.9080000000004</v>
      </c>
      <c r="G30" s="196">
        <f t="shared" si="15"/>
        <v>4502.0352400000002</v>
      </c>
      <c r="I30" s="209"/>
      <c r="J30" s="151"/>
      <c r="K30" s="151"/>
      <c r="L30" s="151"/>
      <c r="M30" s="151"/>
    </row>
    <row r="31" spans="2:13">
      <c r="B31" s="93" t="s">
        <v>61</v>
      </c>
      <c r="C31" s="143">
        <f>12*30*C19</f>
        <v>36000</v>
      </c>
      <c r="D31" s="195">
        <f>(1+$I$5)*C31</f>
        <v>37080</v>
      </c>
      <c r="E31" s="195">
        <f t="shared" ref="E31:G31" si="16">(1+$I$5)*D31</f>
        <v>38192.400000000001</v>
      </c>
      <c r="F31" s="195">
        <f t="shared" si="16"/>
        <v>39338.172000000006</v>
      </c>
      <c r="G31" s="196">
        <f t="shared" si="16"/>
        <v>40518.317160000006</v>
      </c>
      <c r="I31" s="209"/>
      <c r="J31" s="151"/>
      <c r="K31" s="151"/>
      <c r="L31" s="151"/>
      <c r="M31" s="151"/>
    </row>
    <row r="32" spans="2:13">
      <c r="B32" s="104" t="s">
        <v>103</v>
      </c>
      <c r="C32" s="143">
        <v>30000</v>
      </c>
      <c r="D32" s="195">
        <f>(1+$I$5)*C32</f>
        <v>30900</v>
      </c>
      <c r="E32" s="195">
        <v>60000</v>
      </c>
      <c r="F32" s="195">
        <f t="shared" ref="E32:G32" si="17">(1+$I$5)*E32</f>
        <v>61800</v>
      </c>
      <c r="G32" s="196">
        <f t="shared" si="17"/>
        <v>63654</v>
      </c>
      <c r="I32" s="210" t="s">
        <v>106</v>
      </c>
      <c r="J32" s="151"/>
      <c r="K32" s="151"/>
      <c r="L32" s="151"/>
      <c r="M32" s="151"/>
    </row>
    <row r="33" spans="2:13">
      <c r="B33" s="104" t="s">
        <v>102</v>
      </c>
      <c r="C33" s="145">
        <f>10000/3.125*12.5</f>
        <v>40000</v>
      </c>
      <c r="D33" s="197">
        <f>(1+$I$5)*C33</f>
        <v>41200</v>
      </c>
      <c r="E33" s="197">
        <f t="shared" ref="E33:G33" si="18">(1+$I$5)*D33</f>
        <v>42436</v>
      </c>
      <c r="F33" s="197">
        <f t="shared" si="18"/>
        <v>43709.08</v>
      </c>
      <c r="G33" s="198">
        <f t="shared" si="18"/>
        <v>45020.352400000003</v>
      </c>
      <c r="I33" s="209"/>
      <c r="J33" s="151"/>
      <c r="K33" s="151"/>
      <c r="L33" s="151"/>
      <c r="M33" s="151"/>
    </row>
    <row r="34" spans="2:13">
      <c r="B34" s="156" t="s">
        <v>38</v>
      </c>
      <c r="C34" s="143">
        <f>0.17*C22</f>
        <v>64940.000000000007</v>
      </c>
      <c r="D34" s="195">
        <f t="shared" ref="D34:G34" si="19">0.17*D22</f>
        <v>70188.835000000006</v>
      </c>
      <c r="E34" s="195">
        <f t="shared" si="19"/>
        <v>75864.136802500012</v>
      </c>
      <c r="F34" s="195">
        <f t="shared" si="19"/>
        <v>82000.623054403753</v>
      </c>
      <c r="G34" s="196">
        <f t="shared" si="19"/>
        <v>88635.839708912667</v>
      </c>
      <c r="I34" s="209"/>
      <c r="J34" s="151"/>
      <c r="K34" s="151"/>
      <c r="L34" s="151"/>
      <c r="M34" s="151"/>
    </row>
    <row r="35" spans="2:13">
      <c r="B35" s="156" t="s">
        <v>21</v>
      </c>
      <c r="C35" s="143"/>
      <c r="D35" s="195"/>
      <c r="E35" s="195"/>
      <c r="F35" s="195"/>
      <c r="G35" s="196"/>
      <c r="I35" s="209"/>
      <c r="J35" s="151"/>
      <c r="K35" s="151"/>
      <c r="L35" s="151"/>
      <c r="M35" s="151"/>
    </row>
    <row r="36" spans="2:13">
      <c r="B36" s="93" t="s">
        <v>77</v>
      </c>
      <c r="C36" s="143">
        <v>2500</v>
      </c>
      <c r="D36" s="195">
        <f>(1+$I$5)*C36</f>
        <v>2575</v>
      </c>
      <c r="E36" s="195">
        <f t="shared" ref="E36:G36" si="20">(1+$I$5)*D36</f>
        <v>2652.25</v>
      </c>
      <c r="F36" s="195">
        <f t="shared" si="20"/>
        <v>2731.8175000000001</v>
      </c>
      <c r="G36" s="196">
        <f t="shared" si="20"/>
        <v>2813.7720250000002</v>
      </c>
      <c r="I36" s="209"/>
      <c r="J36" s="151"/>
      <c r="K36" s="151"/>
      <c r="L36" s="151"/>
      <c r="M36" s="151"/>
    </row>
    <row r="37" spans="2:13">
      <c r="B37" s="156" t="s">
        <v>30</v>
      </c>
      <c r="C37" s="143">
        <v>300</v>
      </c>
      <c r="D37" s="195">
        <f>(1+$I$5)*C37</f>
        <v>309</v>
      </c>
      <c r="E37" s="195">
        <f t="shared" ref="E37:G37" si="21">(1+$I$5)*D37</f>
        <v>318.27</v>
      </c>
      <c r="F37" s="195">
        <f t="shared" si="21"/>
        <v>327.81810000000002</v>
      </c>
      <c r="G37" s="196">
        <f t="shared" si="21"/>
        <v>337.65264300000001</v>
      </c>
      <c r="I37" s="209"/>
      <c r="J37" s="151"/>
      <c r="K37" s="151"/>
      <c r="L37" s="151"/>
      <c r="M37" s="151"/>
    </row>
    <row r="38" spans="2:13">
      <c r="B38" s="156" t="s">
        <v>32</v>
      </c>
      <c r="C38" s="143">
        <f>12500/3</f>
        <v>4166.666666666667</v>
      </c>
      <c r="D38" s="195">
        <f>(1+$I$5)*C38</f>
        <v>4291.666666666667</v>
      </c>
      <c r="E38" s="195">
        <f t="shared" ref="E38:G38" si="22">(1+$I$5)*D38</f>
        <v>4420.416666666667</v>
      </c>
      <c r="F38" s="195">
        <f t="shared" si="22"/>
        <v>4553.0291666666672</v>
      </c>
      <c r="G38" s="196">
        <f t="shared" si="22"/>
        <v>4689.620041666667</v>
      </c>
      <c r="I38" s="209"/>
      <c r="J38" s="151"/>
      <c r="K38" s="151"/>
      <c r="L38" s="151"/>
      <c r="M38" s="151"/>
    </row>
    <row r="39" spans="2:13">
      <c r="B39" s="93" t="s">
        <v>78</v>
      </c>
      <c r="C39" s="199">
        <v>30000</v>
      </c>
      <c r="D39" s="200">
        <f>(1+$I$5)*C39</f>
        <v>30900</v>
      </c>
      <c r="E39" s="200">
        <f t="shared" ref="E39:G39" si="23">(1+$I$5)*D39</f>
        <v>31827</v>
      </c>
      <c r="F39" s="200">
        <f t="shared" si="23"/>
        <v>32781.81</v>
      </c>
      <c r="G39" s="201">
        <f t="shared" si="23"/>
        <v>33765.264299999995</v>
      </c>
      <c r="I39" s="209"/>
      <c r="J39" s="151"/>
      <c r="K39" s="151"/>
      <c r="L39" s="151"/>
      <c r="M39" s="151"/>
    </row>
    <row r="40" spans="2:13">
      <c r="B40" s="93" t="s">
        <v>79</v>
      </c>
      <c r="C40" s="199">
        <v>7500</v>
      </c>
      <c r="D40" s="200">
        <f>(1+$I$5)*C40</f>
        <v>7725</v>
      </c>
      <c r="E40" s="200">
        <f t="shared" ref="E40:G40" si="24">(1+$I$5)*D40</f>
        <v>7956.75</v>
      </c>
      <c r="F40" s="200">
        <f t="shared" si="24"/>
        <v>8195.4524999999994</v>
      </c>
      <c r="G40" s="201">
        <f t="shared" si="24"/>
        <v>8441.3160749999988</v>
      </c>
      <c r="I40" s="209"/>
      <c r="J40" s="151"/>
      <c r="K40" s="151"/>
      <c r="L40" s="151"/>
      <c r="M40" s="151"/>
    </row>
    <row r="41" spans="2:13">
      <c r="B41" s="162" t="s">
        <v>62</v>
      </c>
      <c r="C41" s="199">
        <v>7500</v>
      </c>
      <c r="D41" s="200">
        <f>(1+$I$5)*C41</f>
        <v>7725</v>
      </c>
      <c r="E41" s="200">
        <f t="shared" ref="E41:G42" si="25">(1+$I$5)*D41</f>
        <v>7956.75</v>
      </c>
      <c r="F41" s="200">
        <f t="shared" si="25"/>
        <v>8195.4524999999994</v>
      </c>
      <c r="G41" s="201">
        <f t="shared" si="25"/>
        <v>8441.3160749999988</v>
      </c>
      <c r="I41" s="209"/>
      <c r="J41" s="151"/>
      <c r="K41" s="151"/>
      <c r="L41" s="151"/>
      <c r="M41" s="151"/>
    </row>
    <row r="42" spans="2:13">
      <c r="B42" s="104" t="s">
        <v>117</v>
      </c>
      <c r="C42" s="143">
        <v>1</v>
      </c>
      <c r="D42" s="143">
        <f>(1+$I$5)*C42</f>
        <v>1.03</v>
      </c>
      <c r="E42" s="143">
        <f t="shared" si="25"/>
        <v>1.0609</v>
      </c>
      <c r="F42" s="143">
        <f t="shared" si="25"/>
        <v>1.092727</v>
      </c>
      <c r="G42" s="144">
        <f t="shared" si="25"/>
        <v>1.1255088100000001</v>
      </c>
      <c r="I42" s="209"/>
      <c r="J42" s="151"/>
      <c r="K42" s="151"/>
      <c r="L42" s="151"/>
      <c r="M42" s="151"/>
    </row>
    <row r="43" spans="2:13" s="123" customFormat="1" ht="12">
      <c r="B43" s="100" t="s">
        <v>8</v>
      </c>
      <c r="C43" s="163">
        <f>SUM(C28:C42)</f>
        <v>328062.66666666669</v>
      </c>
      <c r="D43" s="163">
        <f t="shared" ref="D43:G43" si="26">SUM(D28:D42)</f>
        <v>346355.1816666667</v>
      </c>
      <c r="E43" s="163">
        <f t="shared" si="26"/>
        <v>394058.19886916666</v>
      </c>
      <c r="F43" s="163">
        <f t="shared" si="26"/>
        <v>415764.16457057046</v>
      </c>
      <c r="G43" s="164">
        <f t="shared" si="26"/>
        <v>438926.87315144553</v>
      </c>
      <c r="I43" s="211"/>
      <c r="J43" s="150"/>
      <c r="K43" s="150"/>
      <c r="L43" s="150"/>
      <c r="M43" s="150"/>
    </row>
    <row r="44" spans="2:13" s="123" customFormat="1" ht="12">
      <c r="B44" s="161"/>
      <c r="C44" s="165"/>
      <c r="D44" s="165"/>
      <c r="E44" s="165"/>
      <c r="F44" s="165"/>
      <c r="G44" s="166"/>
      <c r="I44" s="211"/>
      <c r="J44" s="150"/>
      <c r="K44" s="150"/>
      <c r="L44" s="150"/>
      <c r="M44" s="150"/>
    </row>
    <row r="45" spans="2:13" s="123" customFormat="1" ht="13" thickBot="1">
      <c r="B45" s="105" t="s">
        <v>7</v>
      </c>
      <c r="C45" s="167">
        <f>C22-C43</f>
        <v>53937.333333333314</v>
      </c>
      <c r="D45" s="167">
        <f t="shared" ref="D45:G45" si="27">D22-D43</f>
        <v>66520.3183333333</v>
      </c>
      <c r="E45" s="167">
        <f t="shared" si="27"/>
        <v>52201.429380833346</v>
      </c>
      <c r="F45" s="167">
        <f t="shared" si="27"/>
        <v>66592.44163180457</v>
      </c>
      <c r="G45" s="88">
        <f t="shared" si="27"/>
        <v>82460.419253923057</v>
      </c>
      <c r="I45" s="211"/>
      <c r="J45" s="150"/>
      <c r="K45" s="150"/>
      <c r="L45" s="150"/>
      <c r="M45" s="150"/>
    </row>
    <row r="46" spans="2:13" s="123" customFormat="1" ht="13" thickTop="1">
      <c r="B46" s="100" t="s">
        <v>65</v>
      </c>
      <c r="C46" s="168">
        <f>C45/C22</f>
        <v>0.14119720767888302</v>
      </c>
      <c r="D46" s="168">
        <f t="shared" ref="D46:G46" si="28">D45/D22</f>
        <v>0.16111471456488288</v>
      </c>
      <c r="E46" s="168">
        <f t="shared" si="28"/>
        <v>0.11697546915803345</v>
      </c>
      <c r="F46" s="168">
        <f t="shared" si="28"/>
        <v>0.13805645196007824</v>
      </c>
      <c r="G46" s="169">
        <f t="shared" si="28"/>
        <v>0.15815579024471441</v>
      </c>
      <c r="I46" s="211"/>
      <c r="J46" s="150"/>
      <c r="K46" s="150"/>
      <c r="L46" s="150"/>
      <c r="M46" s="150"/>
    </row>
    <row r="47" spans="2:13" s="123" customFormat="1" ht="12">
      <c r="B47" s="149"/>
      <c r="C47" s="115"/>
      <c r="D47" s="115"/>
      <c r="I47" s="202"/>
    </row>
    <row r="48" spans="2:13" s="123" customFormat="1" ht="12">
      <c r="B48" s="149"/>
      <c r="C48" s="115"/>
      <c r="D48" s="115"/>
      <c r="I48" s="202"/>
    </row>
    <row r="49" spans="2:9" s="123" customFormat="1" ht="12">
      <c r="B49" s="149"/>
      <c r="C49" s="115"/>
      <c r="D49" s="115"/>
      <c r="I49" s="202"/>
    </row>
    <row r="50" spans="2:9" s="123" customFormat="1" ht="12">
      <c r="B50" s="149"/>
      <c r="C50" s="115"/>
      <c r="D50" s="115"/>
      <c r="I50" s="202"/>
    </row>
    <row r="51" spans="2:9" s="123" customFormat="1" ht="12">
      <c r="B51" s="149"/>
      <c r="C51" s="115"/>
      <c r="D51" s="115"/>
      <c r="I51" s="202"/>
    </row>
  </sheetData>
  <sheetProtection sheet="1" objects="1" scenarios="1"/>
  <mergeCells count="3">
    <mergeCell ref="B1:G1"/>
    <mergeCell ref="B2:G2"/>
    <mergeCell ref="B3:G3"/>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31"/>
  <sheetViews>
    <sheetView showGridLines="0" zoomScale="125" zoomScaleNormal="125" zoomScalePageLayoutView="125" workbookViewId="0"/>
  </sheetViews>
  <sheetFormatPr baseColWidth="10" defaultRowHeight="11" x14ac:dyDescent="0"/>
  <cols>
    <col min="1" max="1" width="10.83203125" style="1"/>
    <col min="2" max="2" width="2.83203125" style="17" bestFit="1" customWidth="1"/>
    <col min="3" max="3" width="21.33203125" style="1" bestFit="1" customWidth="1"/>
    <col min="4" max="6" width="10.83203125" style="3"/>
    <col min="7" max="7" width="8" style="3" customWidth="1"/>
    <col min="8" max="16384" width="10.83203125" style="1"/>
  </cols>
  <sheetData>
    <row r="2" spans="2:9">
      <c r="C2" s="54" t="s">
        <v>72</v>
      </c>
      <c r="D2" s="54"/>
      <c r="E2" s="54"/>
      <c r="F2" s="54"/>
      <c r="G2" s="54"/>
    </row>
    <row r="3" spans="2:9" s="2" customFormat="1">
      <c r="B3" s="17"/>
      <c r="C3" s="37" t="s">
        <v>40</v>
      </c>
      <c r="D3" s="38" t="s">
        <v>41</v>
      </c>
      <c r="E3" s="38" t="s">
        <v>42</v>
      </c>
      <c r="F3" s="38" t="s">
        <v>39</v>
      </c>
      <c r="G3" s="38" t="s">
        <v>70</v>
      </c>
    </row>
    <row r="4" spans="2:9" ht="12" customHeight="1">
      <c r="B4" s="57" t="s">
        <v>69</v>
      </c>
      <c r="C4" s="24" t="s">
        <v>57</v>
      </c>
      <c r="D4" s="28">
        <v>0.5</v>
      </c>
      <c r="E4" s="28">
        <v>38</v>
      </c>
      <c r="F4" s="33">
        <f>E4/D4</f>
        <v>76</v>
      </c>
      <c r="G4" s="43">
        <f>AVERAGE(F4:F8)</f>
        <v>75.2</v>
      </c>
    </row>
    <row r="5" spans="2:9">
      <c r="B5" s="57"/>
      <c r="C5" s="21" t="s">
        <v>43</v>
      </c>
      <c r="D5" s="28">
        <v>0.5</v>
      </c>
      <c r="E5" s="28">
        <v>38</v>
      </c>
      <c r="F5" s="33">
        <f t="shared" ref="F5:F22" si="0">E5/D5</f>
        <v>76</v>
      </c>
      <c r="G5" s="56"/>
    </row>
    <row r="6" spans="2:9">
      <c r="B6" s="57"/>
      <c r="C6" s="25" t="s">
        <v>57</v>
      </c>
      <c r="D6" s="28">
        <v>0.25</v>
      </c>
      <c r="E6" s="28">
        <v>20</v>
      </c>
      <c r="F6" s="33">
        <f t="shared" ref="F6:F12" si="1">E6/D6</f>
        <v>80</v>
      </c>
      <c r="G6" s="56"/>
    </row>
    <row r="7" spans="2:9">
      <c r="B7" s="57"/>
      <c r="C7" s="21" t="s">
        <v>43</v>
      </c>
      <c r="D7" s="28">
        <v>0.25</v>
      </c>
      <c r="E7" s="28">
        <v>20</v>
      </c>
      <c r="F7" s="33">
        <f t="shared" si="1"/>
        <v>80</v>
      </c>
      <c r="G7" s="56"/>
    </row>
    <row r="8" spans="2:9">
      <c r="B8" s="57"/>
      <c r="C8" s="25" t="s">
        <v>60</v>
      </c>
      <c r="D8" s="28">
        <v>0.5</v>
      </c>
      <c r="E8" s="28">
        <v>32</v>
      </c>
      <c r="F8" s="33">
        <f t="shared" si="1"/>
        <v>64</v>
      </c>
      <c r="G8" s="50"/>
    </row>
    <row r="9" spans="2:9" ht="12" customHeight="1">
      <c r="B9" s="57" t="s">
        <v>84</v>
      </c>
      <c r="C9" s="24" t="s">
        <v>58</v>
      </c>
      <c r="D9" s="27">
        <v>0.5</v>
      </c>
      <c r="E9" s="27">
        <v>25</v>
      </c>
      <c r="F9" s="22">
        <f t="shared" si="1"/>
        <v>50</v>
      </c>
      <c r="G9" s="43">
        <f>AVERAGE(F9:F12)</f>
        <v>48.5</v>
      </c>
    </row>
    <row r="10" spans="2:9">
      <c r="B10" s="57"/>
      <c r="C10" s="25" t="s">
        <v>58</v>
      </c>
      <c r="D10" s="28">
        <v>0.25</v>
      </c>
      <c r="E10" s="28">
        <v>15</v>
      </c>
      <c r="F10" s="33">
        <f t="shared" si="1"/>
        <v>60</v>
      </c>
      <c r="G10" s="56"/>
    </row>
    <row r="11" spans="2:9">
      <c r="B11" s="57"/>
      <c r="C11" s="21" t="s">
        <v>45</v>
      </c>
      <c r="D11" s="28">
        <v>0.5</v>
      </c>
      <c r="E11" s="28">
        <v>25</v>
      </c>
      <c r="F11" s="33">
        <f t="shared" si="1"/>
        <v>50</v>
      </c>
      <c r="G11" s="56"/>
      <c r="I11" s="4"/>
    </row>
    <row r="12" spans="2:9">
      <c r="B12" s="57"/>
      <c r="C12" s="26" t="s">
        <v>59</v>
      </c>
      <c r="D12" s="29">
        <v>0.5</v>
      </c>
      <c r="E12" s="29">
        <v>17</v>
      </c>
      <c r="F12" s="23">
        <f t="shared" si="1"/>
        <v>34</v>
      </c>
      <c r="G12" s="50"/>
      <c r="I12" s="4"/>
    </row>
    <row r="13" spans="2:9">
      <c r="G13" s="36"/>
      <c r="I13" s="4"/>
    </row>
    <row r="14" spans="2:9">
      <c r="G14" s="40"/>
      <c r="I14" s="4"/>
    </row>
    <row r="15" spans="2:9">
      <c r="C15" s="54" t="s">
        <v>73</v>
      </c>
      <c r="D15" s="54"/>
      <c r="E15" s="54"/>
      <c r="F15" s="54"/>
      <c r="G15" s="55"/>
    </row>
    <row r="16" spans="2:9" s="2" customFormat="1">
      <c r="B16" s="17"/>
      <c r="C16" s="37" t="s">
        <v>40</v>
      </c>
      <c r="D16" s="38" t="s">
        <v>41</v>
      </c>
      <c r="E16" s="38" t="s">
        <v>42</v>
      </c>
      <c r="F16" s="38" t="s">
        <v>39</v>
      </c>
      <c r="G16" s="39" t="s">
        <v>70</v>
      </c>
    </row>
    <row r="17" spans="2:12" ht="12" customHeight="1">
      <c r="B17" s="53" t="s">
        <v>69</v>
      </c>
      <c r="C17" s="20" t="s">
        <v>43</v>
      </c>
      <c r="D17" s="31">
        <v>0.71699999999999997</v>
      </c>
      <c r="E17" s="27">
        <v>31.1</v>
      </c>
      <c r="F17" s="22">
        <f t="shared" si="0"/>
        <v>43.375174337517436</v>
      </c>
      <c r="G17" s="43">
        <f>AVERAGE(F17:F18)</f>
        <v>41.687587168758718</v>
      </c>
    </row>
    <row r="18" spans="2:12">
      <c r="B18" s="53"/>
      <c r="C18" s="25" t="s">
        <v>60</v>
      </c>
      <c r="D18" s="32">
        <v>1</v>
      </c>
      <c r="E18" s="29">
        <v>40</v>
      </c>
      <c r="F18" s="23">
        <f t="shared" si="0"/>
        <v>40</v>
      </c>
      <c r="G18" s="50"/>
    </row>
    <row r="19" spans="2:12" ht="11" customHeight="1">
      <c r="B19" s="57" t="s">
        <v>84</v>
      </c>
      <c r="C19" s="20" t="s">
        <v>0</v>
      </c>
      <c r="D19" s="31">
        <v>1</v>
      </c>
      <c r="E19" s="27">
        <v>32</v>
      </c>
      <c r="F19" s="22">
        <f t="shared" si="0"/>
        <v>32</v>
      </c>
      <c r="G19" s="43">
        <f>AVERAGE(F19:F22)</f>
        <v>22.5</v>
      </c>
    </row>
    <row r="20" spans="2:12">
      <c r="B20" s="57"/>
      <c r="C20" s="25" t="s">
        <v>58</v>
      </c>
      <c r="D20" s="30">
        <v>1</v>
      </c>
      <c r="E20" s="28">
        <v>20</v>
      </c>
      <c r="F20" s="33">
        <f t="shared" si="0"/>
        <v>20</v>
      </c>
      <c r="G20" s="44"/>
    </row>
    <row r="21" spans="2:12">
      <c r="B21" s="57"/>
      <c r="C21" s="25" t="s">
        <v>58</v>
      </c>
      <c r="D21" s="30">
        <v>0.5</v>
      </c>
      <c r="E21" s="28">
        <v>10</v>
      </c>
      <c r="F21" s="33">
        <f t="shared" si="0"/>
        <v>20</v>
      </c>
      <c r="G21" s="44"/>
      <c r="I21" s="4"/>
    </row>
    <row r="22" spans="2:12">
      <c r="B22" s="57"/>
      <c r="C22" s="26" t="s">
        <v>59</v>
      </c>
      <c r="D22" s="32">
        <v>1</v>
      </c>
      <c r="E22" s="29">
        <v>18</v>
      </c>
      <c r="F22" s="23">
        <f t="shared" si="0"/>
        <v>18</v>
      </c>
      <c r="G22" s="45"/>
    </row>
    <row r="23" spans="2:12">
      <c r="C23" s="14"/>
    </row>
    <row r="24" spans="2:12">
      <c r="K24" s="14">
        <v>1000</v>
      </c>
      <c r="L24" s="58" t="s">
        <v>93</v>
      </c>
    </row>
    <row r="25" spans="2:12">
      <c r="D25" s="15"/>
      <c r="E25" s="15"/>
      <c r="F25" s="15"/>
      <c r="K25" s="59">
        <f>1000/2.2</f>
        <v>454.5454545454545</v>
      </c>
      <c r="L25" s="58" t="s">
        <v>94</v>
      </c>
    </row>
    <row r="26" spans="2:12">
      <c r="C26" s="46" t="s">
        <v>44</v>
      </c>
      <c r="D26" s="47"/>
      <c r="E26" s="47"/>
      <c r="F26" s="47"/>
      <c r="G26" s="48"/>
      <c r="H26" s="3"/>
    </row>
    <row r="27" spans="2:12">
      <c r="C27" s="42" t="s">
        <v>40</v>
      </c>
      <c r="D27" s="38" t="s">
        <v>71</v>
      </c>
      <c r="E27" s="38" t="s">
        <v>42</v>
      </c>
      <c r="F27" s="38" t="s">
        <v>39</v>
      </c>
      <c r="G27" s="39" t="s">
        <v>70</v>
      </c>
      <c r="H27" s="15" t="s">
        <v>66</v>
      </c>
      <c r="I27" s="14" t="s">
        <v>68</v>
      </c>
      <c r="J27" s="14" t="s">
        <v>67</v>
      </c>
      <c r="K27" s="14" t="s">
        <v>39</v>
      </c>
    </row>
    <row r="28" spans="2:12" ht="11" customHeight="1">
      <c r="B28" s="53" t="s">
        <v>69</v>
      </c>
      <c r="C28" s="24" t="s">
        <v>56</v>
      </c>
      <c r="D28" s="19">
        <v>3</v>
      </c>
      <c r="E28" s="19">
        <v>15</v>
      </c>
      <c r="F28" s="27">
        <f>K28</f>
        <v>75.757575757575751</v>
      </c>
      <c r="G28" s="43">
        <f>AVERAGE(F28:F29)</f>
        <v>70.707070707070699</v>
      </c>
      <c r="H28" s="3">
        <f t="shared" ref="H28:H29" si="2">E28/D28</f>
        <v>5</v>
      </c>
      <c r="I28" s="1">
        <v>30</v>
      </c>
      <c r="J28" s="14">
        <v>6.6000000000000003E-2</v>
      </c>
      <c r="K28" s="16">
        <f t="shared" ref="K28:K29" si="3">H28/J28</f>
        <v>75.757575757575751</v>
      </c>
    </row>
    <row r="29" spans="2:12">
      <c r="B29" s="53"/>
      <c r="C29" s="25" t="s">
        <v>43</v>
      </c>
      <c r="D29" s="18">
        <v>3</v>
      </c>
      <c r="E29" s="18">
        <v>13</v>
      </c>
      <c r="F29" s="28">
        <f t="shared" ref="F29:F31" si="4">K29</f>
        <v>65.656565656565647</v>
      </c>
      <c r="G29" s="49"/>
      <c r="H29" s="41">
        <f t="shared" si="2"/>
        <v>4.333333333333333</v>
      </c>
      <c r="I29" s="1">
        <v>30</v>
      </c>
      <c r="J29" s="14">
        <v>6.6000000000000003E-2</v>
      </c>
      <c r="K29" s="16">
        <f t="shared" si="3"/>
        <v>65.656565656565647</v>
      </c>
    </row>
    <row r="30" spans="2:12" ht="11" customHeight="1">
      <c r="B30" s="51" t="s">
        <v>84</v>
      </c>
      <c r="C30" s="24" t="s">
        <v>59</v>
      </c>
      <c r="D30" s="34">
        <v>1</v>
      </c>
      <c r="E30" s="27">
        <v>2</v>
      </c>
      <c r="F30" s="27">
        <f t="shared" si="4"/>
        <v>30.303030303030301</v>
      </c>
      <c r="G30" s="43">
        <f>AVERAGE(F30:F31)</f>
        <v>30.303030303030301</v>
      </c>
      <c r="H30" s="3">
        <f>E30/D30</f>
        <v>2</v>
      </c>
      <c r="I30" s="1">
        <v>30</v>
      </c>
      <c r="J30" s="14">
        <v>6.6000000000000003E-2</v>
      </c>
      <c r="K30" s="16">
        <f>H30/J30</f>
        <v>30.303030303030301</v>
      </c>
    </row>
    <row r="31" spans="2:12">
      <c r="B31" s="52"/>
      <c r="C31" s="26" t="s">
        <v>59</v>
      </c>
      <c r="D31" s="35">
        <v>2</v>
      </c>
      <c r="E31" s="29">
        <v>4</v>
      </c>
      <c r="F31" s="29">
        <f t="shared" si="4"/>
        <v>30.303030303030301</v>
      </c>
      <c r="G31" s="50"/>
      <c r="H31" s="3">
        <f>E31/D31</f>
        <v>2</v>
      </c>
      <c r="I31" s="1">
        <v>30</v>
      </c>
      <c r="J31" s="14">
        <v>6.6000000000000003E-2</v>
      </c>
      <c r="K31" s="16">
        <f>H31/J31</f>
        <v>30.303030303030301</v>
      </c>
    </row>
  </sheetData>
  <sheetProtection sheet="1" objects="1" scenarios="1"/>
  <mergeCells count="15">
    <mergeCell ref="B4:B8"/>
    <mergeCell ref="B9:B12"/>
    <mergeCell ref="B17:B18"/>
    <mergeCell ref="B19:B22"/>
    <mergeCell ref="C2:G2"/>
    <mergeCell ref="C15:G15"/>
    <mergeCell ref="G4:G8"/>
    <mergeCell ref="G9:G12"/>
    <mergeCell ref="G17:G18"/>
    <mergeCell ref="G19:G22"/>
    <mergeCell ref="C26:G26"/>
    <mergeCell ref="G28:G29"/>
    <mergeCell ref="G30:G31"/>
    <mergeCell ref="B30:B31"/>
    <mergeCell ref="B28:B29"/>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showGridLines="0" zoomScale="125" zoomScaleNormal="125" zoomScalePageLayoutView="125" workbookViewId="0"/>
  </sheetViews>
  <sheetFormatPr baseColWidth="10" defaultRowHeight="11" x14ac:dyDescent="0"/>
  <cols>
    <col min="1" max="1" width="12.1640625" style="5" bestFit="1" customWidth="1"/>
    <col min="2" max="2" width="11.33203125" style="7" bestFit="1" customWidth="1"/>
    <col min="3" max="3" width="5" style="9" bestFit="1" customWidth="1"/>
    <col min="4" max="4" width="11.33203125" style="7" bestFit="1" customWidth="1"/>
    <col min="5" max="5" width="7.6640625" style="9" bestFit="1" customWidth="1"/>
    <col min="6" max="6" width="11.33203125" style="7" bestFit="1" customWidth="1"/>
    <col min="7" max="16384" width="10.83203125" style="5"/>
  </cols>
  <sheetData>
    <row r="1" spans="1:6">
      <c r="A1" s="5" t="s">
        <v>46</v>
      </c>
    </row>
    <row r="3" spans="1:6" ht="15">
      <c r="A3" s="13" t="s">
        <v>52</v>
      </c>
      <c r="B3" s="10" t="s">
        <v>47</v>
      </c>
      <c r="C3" s="12" t="s">
        <v>51</v>
      </c>
      <c r="D3" s="10" t="s">
        <v>48</v>
      </c>
      <c r="E3" s="12" t="s">
        <v>51</v>
      </c>
      <c r="F3" s="10" t="s">
        <v>50</v>
      </c>
    </row>
    <row r="4" spans="1:6">
      <c r="A4" s="5" t="s">
        <v>53</v>
      </c>
      <c r="B4" s="8">
        <f>AVERAGE(8,9,10,11,12)</f>
        <v>10</v>
      </c>
      <c r="C4" s="9">
        <f>(D4-$B$4)/$B$4</f>
        <v>1.2</v>
      </c>
      <c r="D4" s="8">
        <v>22</v>
      </c>
      <c r="E4" s="11" t="s">
        <v>49</v>
      </c>
      <c r="F4" s="11" t="s">
        <v>49</v>
      </c>
    </row>
    <row r="5" spans="1:6">
      <c r="A5" s="5" t="s">
        <v>54</v>
      </c>
      <c r="B5" s="6" t="s">
        <v>49</v>
      </c>
      <c r="C5" s="9">
        <f t="shared" ref="C5:C7" si="0">(D5-$B$4)/$B$4</f>
        <v>1.25</v>
      </c>
      <c r="D5" s="8">
        <f>'Sale Prices'!G19</f>
        <v>22.5</v>
      </c>
      <c r="E5" s="9">
        <f t="shared" ref="E5:E7" si="1">(F5-D5)/D5</f>
        <v>0.85278165194483191</v>
      </c>
      <c r="F5" s="8">
        <f>'Sale Prices'!G17</f>
        <v>41.687587168758718</v>
      </c>
    </row>
    <row r="6" spans="1:6">
      <c r="A6" s="5" t="s">
        <v>55</v>
      </c>
      <c r="B6" s="6" t="s">
        <v>49</v>
      </c>
      <c r="C6" s="9">
        <f t="shared" si="0"/>
        <v>3.85</v>
      </c>
      <c r="D6" s="8">
        <f>'Sale Prices'!G9</f>
        <v>48.5</v>
      </c>
      <c r="E6" s="9">
        <f t="shared" si="1"/>
        <v>0.55051546391752582</v>
      </c>
      <c r="F6" s="8">
        <f>'Sale Prices'!G4</f>
        <v>75.2</v>
      </c>
    </row>
    <row r="7" spans="1:6">
      <c r="A7" s="5" t="s">
        <v>27</v>
      </c>
      <c r="B7" s="6" t="s">
        <v>49</v>
      </c>
      <c r="C7" s="9">
        <f t="shared" si="0"/>
        <v>2.0300000000000002</v>
      </c>
      <c r="D7" s="8">
        <v>30.3</v>
      </c>
      <c r="E7" s="9">
        <f t="shared" si="1"/>
        <v>1.3336633663366335</v>
      </c>
      <c r="F7" s="8">
        <v>70.709999999999994</v>
      </c>
    </row>
    <row r="9" spans="1:6">
      <c r="D9" s="8"/>
      <c r="F9" s="8"/>
    </row>
    <row r="10" spans="1:6">
      <c r="D10" s="8"/>
      <c r="F10" s="8"/>
    </row>
  </sheetData>
  <sheetProtection sheet="1" objects="1" scenarios="1"/>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Title Page</vt:lpstr>
      <vt:lpstr>Farmer IS</vt:lpstr>
      <vt:lpstr>Farmer Projection</vt:lpstr>
      <vt:lpstr>Association IS</vt:lpstr>
      <vt:lpstr>Association Projection</vt:lpstr>
      <vt:lpstr>Sale Prices</vt:lpstr>
      <vt:lpstr>Value Chain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Matthew Kudija</cp:lastModifiedBy>
  <dcterms:created xsi:type="dcterms:W3CDTF">2014-03-10T01:41:02Z</dcterms:created>
  <dcterms:modified xsi:type="dcterms:W3CDTF">2014-04-29T23:46:01Z</dcterms:modified>
</cp:coreProperties>
</file>