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80" tabRatio="500" firstSheet="5" activeTab="8"/>
  </bookViews>
  <sheets>
    <sheet name="Copy of Data from Guatemala" sheetId="1" r:id="rId1"/>
    <sheet name="Costs" sheetId="2" r:id="rId2"/>
    <sheet name="Qicha Aloom" sheetId="3" r:id="rId3"/>
    <sheet name="Chicakh book" sheetId="4" r:id="rId4"/>
    <sheet name="Juan Carlos" sheetId="5" r:id="rId5"/>
    <sheet name="Farmer IS" sheetId="6" r:id="rId6"/>
    <sheet name="Association IS" sheetId="7" r:id="rId7"/>
    <sheet name="Association IS (2)" sheetId="11" r:id="rId8"/>
    <sheet name="Sale Prices" sheetId="8" r:id="rId9"/>
    <sheet name="Value Chain" sheetId="9" r:id="rId10"/>
    <sheet name="Startup Cost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9" l="1"/>
  <c r="F6" i="9"/>
  <c r="F10" i="9"/>
  <c r="D5" i="9"/>
  <c r="D6" i="9"/>
  <c r="D10" i="9"/>
  <c r="E7" i="9"/>
  <c r="C7" i="9"/>
  <c r="H32" i="8"/>
  <c r="K32" i="8"/>
  <c r="F32" i="8"/>
  <c r="H33" i="8"/>
  <c r="K33" i="8"/>
  <c r="F33" i="8"/>
  <c r="G32" i="8"/>
  <c r="H30" i="8"/>
  <c r="K30" i="8"/>
  <c r="F30" i="8"/>
  <c r="H31" i="8"/>
  <c r="K31" i="8"/>
  <c r="F31" i="8"/>
  <c r="G30" i="8"/>
  <c r="F17" i="8"/>
  <c r="F18" i="8"/>
  <c r="G17" i="8"/>
  <c r="F4" i="8"/>
  <c r="F5" i="8"/>
  <c r="F6" i="8"/>
  <c r="F7" i="8"/>
  <c r="F8" i="8"/>
  <c r="G4" i="8"/>
  <c r="F19" i="8"/>
  <c r="F20" i="8"/>
  <c r="F21" i="8"/>
  <c r="F22" i="8"/>
  <c r="G19" i="8"/>
  <c r="F9" i="8"/>
  <c r="F10" i="8"/>
  <c r="F11" i="8"/>
  <c r="F12" i="8"/>
  <c r="G9" i="8"/>
  <c r="G28" i="6"/>
  <c r="G27" i="6"/>
  <c r="B32" i="6"/>
  <c r="B9" i="11"/>
  <c r="B10" i="11"/>
  <c r="B12" i="11"/>
  <c r="B13" i="11"/>
  <c r="O15" i="11"/>
  <c r="B15" i="11"/>
  <c r="B16" i="11"/>
  <c r="B19" i="11"/>
  <c r="B35" i="11"/>
  <c r="B32" i="11"/>
  <c r="B36" i="11"/>
  <c r="B37" i="11"/>
  <c r="B38" i="11"/>
  <c r="B40" i="11"/>
  <c r="B42" i="11"/>
  <c r="B44" i="11"/>
  <c r="B49" i="11"/>
  <c r="B51" i="11"/>
  <c r="B52" i="11"/>
  <c r="F23" i="11"/>
  <c r="C9" i="11"/>
  <c r="C10" i="11"/>
  <c r="C12" i="11"/>
  <c r="C13" i="11"/>
  <c r="C15" i="11"/>
  <c r="C16" i="11"/>
  <c r="C19" i="11"/>
  <c r="C35" i="11"/>
  <c r="C32" i="11"/>
  <c r="C36" i="11"/>
  <c r="C37" i="11"/>
  <c r="C38" i="11"/>
  <c r="C40" i="11"/>
  <c r="C42" i="11"/>
  <c r="C44" i="11"/>
  <c r="C49" i="11"/>
  <c r="C51" i="11"/>
  <c r="C52" i="11"/>
  <c r="G23" i="11"/>
  <c r="G22" i="11"/>
  <c r="F22" i="11"/>
  <c r="F13" i="11"/>
  <c r="G13" i="11"/>
  <c r="F11" i="11"/>
  <c r="G8" i="11"/>
  <c r="G5" i="11"/>
  <c r="G9" i="11"/>
  <c r="G10" i="11"/>
  <c r="G11" i="11"/>
  <c r="G15" i="11"/>
  <c r="F17" i="11"/>
  <c r="G17" i="11"/>
  <c r="G21" i="11"/>
  <c r="F8" i="11"/>
  <c r="F5" i="11"/>
  <c r="F9" i="11"/>
  <c r="F10" i="11"/>
  <c r="F15" i="11"/>
  <c r="F21" i="11"/>
  <c r="L7" i="11"/>
  <c r="M7" i="11"/>
  <c r="O9" i="11"/>
  <c r="O12" i="11"/>
  <c r="L19" i="11"/>
  <c r="M19" i="11"/>
  <c r="L41" i="11"/>
  <c r="M41" i="11"/>
  <c r="B12" i="6"/>
  <c r="C12" i="6"/>
  <c r="C9" i="6"/>
  <c r="C16" i="6"/>
  <c r="C18" i="6"/>
  <c r="C19" i="6"/>
  <c r="C32" i="7"/>
  <c r="B32" i="7"/>
  <c r="C5" i="9"/>
  <c r="C6" i="9"/>
  <c r="C4" i="9"/>
  <c r="B4" i="9"/>
  <c r="B30" i="6"/>
  <c r="D8" i="6"/>
  <c r="D9" i="6"/>
  <c r="D16" i="6"/>
  <c r="D18" i="6"/>
  <c r="D19" i="6"/>
  <c r="B9" i="6"/>
  <c r="B14" i="6"/>
  <c r="B16" i="6"/>
  <c r="B18" i="6"/>
  <c r="B19" i="6"/>
  <c r="C30" i="6"/>
  <c r="I13" i="6"/>
  <c r="I14" i="6"/>
  <c r="H15" i="6"/>
  <c r="I15" i="6"/>
  <c r="I12" i="6"/>
  <c r="K4" i="6"/>
  <c r="K27" i="8"/>
  <c r="L32" i="8"/>
  <c r="B9" i="7"/>
  <c r="C9" i="7"/>
  <c r="B12" i="7"/>
  <c r="C12" i="7"/>
  <c r="C15" i="7"/>
  <c r="C13" i="7"/>
  <c r="C16" i="7"/>
  <c r="C19" i="7"/>
  <c r="C30" i="7"/>
  <c r="C39" i="7"/>
  <c r="C41" i="7"/>
  <c r="C42" i="7"/>
  <c r="B10" i="7"/>
  <c r="B13" i="7"/>
  <c r="B16" i="7"/>
  <c r="B19" i="7"/>
  <c r="B30" i="7"/>
  <c r="B25" i="7"/>
  <c r="B39" i="7"/>
  <c r="B41" i="7"/>
  <c r="B42" i="7"/>
  <c r="F19" i="7"/>
  <c r="E19" i="7"/>
  <c r="B28" i="7"/>
  <c r="C28" i="7"/>
  <c r="H12" i="7"/>
  <c r="H9" i="7"/>
  <c r="E5" i="9"/>
  <c r="E6" i="9"/>
  <c r="F38" i="8"/>
  <c r="C10" i="7"/>
  <c r="C25" i="7"/>
  <c r="C22" i="7"/>
  <c r="C26" i="7"/>
  <c r="C27" i="7"/>
  <c r="B34" i="7"/>
  <c r="C34" i="7"/>
  <c r="F41" i="7"/>
  <c r="B22" i="7"/>
  <c r="B26" i="7"/>
  <c r="B27" i="7"/>
  <c r="F7" i="7"/>
  <c r="E7" i="7"/>
  <c r="F34" i="5"/>
  <c r="G10" i="1"/>
  <c r="F10" i="1"/>
  <c r="F9" i="1"/>
  <c r="G6" i="1"/>
  <c r="F6" i="1"/>
  <c r="H5" i="1"/>
  <c r="G5" i="1"/>
  <c r="F5" i="1"/>
  <c r="E29" i="5"/>
  <c r="D29" i="5"/>
  <c r="E41" i="7"/>
</calcChain>
</file>

<file path=xl/comments1.xml><?xml version="1.0" encoding="utf-8"?>
<comments xmlns="http://schemas.openxmlformats.org/spreadsheetml/2006/main">
  <authors>
    <author>Matthew Kudija</author>
  </authors>
  <commentList>
    <comment ref="D6" authorId="0">
      <text>
        <r>
          <rPr>
            <b/>
            <sz val="9"/>
            <color indexed="81"/>
            <rFont val="Arial"/>
          </rPr>
          <t>Matthew Kudija:</t>
        </r>
        <r>
          <rPr>
            <sz val="9"/>
            <color indexed="81"/>
            <rFont val="Arial"/>
          </rPr>
          <t xml:space="preserve">
5 days labor/1.5 querdas to harvest
8 hours to dry
 from QA 3/7</t>
        </r>
      </text>
    </comment>
    <comment ref="D7" authorId="0">
      <text>
        <r>
          <rPr>
            <b/>
            <sz val="9"/>
            <color indexed="81"/>
            <rFont val="Arial"/>
          </rPr>
          <t>Matthew Kudija:</t>
        </r>
        <r>
          <rPr>
            <sz val="9"/>
            <color indexed="81"/>
            <rFont val="Arial"/>
          </rPr>
          <t xml:space="preserve">
from QA 3/7
</t>
        </r>
      </text>
    </comment>
  </commentList>
</comments>
</file>

<file path=xl/sharedStrings.xml><?xml version="1.0" encoding="utf-8"?>
<sst xmlns="http://schemas.openxmlformats.org/spreadsheetml/2006/main" count="540" uniqueCount="317">
  <si>
    <t>Caritas estmate - Flete price</t>
    <phoneticPr fontId="14" type="noConversion"/>
  </si>
  <si>
    <t>40lbs/ 0.5 cuerda</t>
    <phoneticPr fontId="14" type="noConversion"/>
  </si>
  <si>
    <t>San Marcos Tuesday yield from 8 year old non selected seed</t>
    <phoneticPr fontId="14" type="noConversion"/>
  </si>
  <si>
    <t>Yield</t>
    <phoneticPr fontId="14" type="noConversion"/>
  </si>
  <si>
    <t>Corn 3-4 quintals/cuerda - Tuesday San Marcos</t>
    <phoneticPr fontId="14" type="noConversion"/>
  </si>
  <si>
    <t>Use handful, about 4 oz, of seed to plant 1/2 cuerda</t>
    <phoneticPr fontId="14" type="noConversion"/>
  </si>
  <si>
    <t>15/15/15 chimcal fertilizer used by highland people met on Tuesday - They use 1-3 quintales/cuerda of organic fertilizer + 1 quintal/cuerda of chemical fertilizer</t>
    <phoneticPr fontId="14" type="noConversion"/>
  </si>
  <si>
    <t>The people of San Marcos tend to have 10-40 cuerdas; The people in the hard to access high lands that we met use 1/2 cuerda for Amaranth, each adult has 3 cuerda - 6 per couple</t>
    <phoneticPr fontId="14" type="noConversion"/>
  </si>
  <si>
    <t>4q/30 min ride to market</t>
    <phoneticPr fontId="14" type="noConversion"/>
  </si>
  <si>
    <t>equivalent to 1 hour walking</t>
    <phoneticPr fontId="14" type="noConversion"/>
  </si>
  <si>
    <t>Note</t>
    <phoneticPr fontId="14" type="noConversion"/>
  </si>
  <si>
    <t>10Q/1quintal for 30 km</t>
    <phoneticPr fontId="14" type="noConversion"/>
  </si>
  <si>
    <t>Caritas estimate - 30km is the average ditance from a producer to a local market</t>
    <phoneticPr fontId="14" type="noConversion"/>
  </si>
  <si>
    <t>30Q/quintal from San Marcos to Guatemala City</t>
    <phoneticPr fontId="14" type="noConversion"/>
  </si>
  <si>
    <t xml:space="preserve">Caritas estimate based off 20Q old price and cost of taking a person </t>
    <phoneticPr fontId="14" type="noConversion"/>
  </si>
  <si>
    <t>75 Q/quintal for 1 sac from Farmer Community to Capital</t>
    <phoneticPr fontId="14" type="noConversion"/>
  </si>
  <si>
    <t>Flete estimate</t>
    <phoneticPr fontId="14" type="noConversion"/>
  </si>
  <si>
    <t>Cost</t>
    <phoneticPr fontId="14" type="noConversion"/>
  </si>
  <si>
    <t>*CUERDA = 21m x 21m - we think</t>
    <phoneticPr fontId="14" type="noConversion"/>
  </si>
  <si>
    <t>Processing</t>
    <phoneticPr fontId="14" type="noConversion"/>
  </si>
  <si>
    <t>Hypothetical for proportions - If an intermediary bought sac for 800 and sold for 1200, they would make a margin of 100</t>
    <phoneticPr fontId="14" type="noConversion"/>
  </si>
  <si>
    <t>Sale price</t>
    <phoneticPr fontId="14" type="noConversion"/>
  </si>
  <si>
    <t>Volumes</t>
    <phoneticPr fontId="14" type="noConversion"/>
  </si>
  <si>
    <t>Planting</t>
    <phoneticPr fontId="14" type="noConversion"/>
  </si>
  <si>
    <t>Input costs</t>
    <phoneticPr fontId="14" type="noConversion"/>
  </si>
  <si>
    <t>Land</t>
    <phoneticPr fontId="14" type="noConversion"/>
  </si>
  <si>
    <t>Community conditions</t>
    <phoneticPr fontId="14" type="noConversion"/>
  </si>
  <si>
    <t>Yields</t>
    <phoneticPr fontId="14" type="noConversion"/>
  </si>
  <si>
    <t>Processing and sale price</t>
    <phoneticPr fontId="14" type="noConversion"/>
  </si>
  <si>
    <t>General</t>
    <phoneticPr fontId="14" type="noConversion"/>
  </si>
  <si>
    <t>Because of the economics it would be best if the people in San Marces had 1.5 quintal of Amaranth (to sell?)</t>
    <phoneticPr fontId="14" type="noConversion"/>
  </si>
  <si>
    <t>more than 250 Q/quintal</t>
    <phoneticPr fontId="14" type="noConversion"/>
  </si>
  <si>
    <t>200-400Q</t>
    <phoneticPr fontId="14" type="noConversion"/>
  </si>
  <si>
    <t>To verify nutrition of a food</t>
    <phoneticPr fontId="14" type="noConversion"/>
  </si>
  <si>
    <t>$3.00/pack of seeds</t>
    <phoneticPr fontId="14" type="noConversion"/>
  </si>
  <si>
    <t>1 bag covers 1/4 of cuerda if planting seed in rows; or 1 cuerda if you make a seed bed firsta nd then transplant</t>
    <phoneticPr fontId="14" type="noConversion"/>
  </si>
  <si>
    <t>24-25Q</t>
    <phoneticPr fontId="14" type="noConversion"/>
  </si>
  <si>
    <t>May be the seed price for the nutrisol seed from Adicta</t>
    <phoneticPr fontId="14" type="noConversion"/>
  </si>
  <si>
    <t>Transportation</t>
    <phoneticPr fontId="14" type="noConversion"/>
  </si>
  <si>
    <t>50 Q/ 1 quintal to go to Guatemala city</t>
    <phoneticPr fontId="14" type="noConversion"/>
  </si>
  <si>
    <t>estimate</t>
    <phoneticPr fontId="14" type="noConversion"/>
  </si>
  <si>
    <t>Use 10 sacs/cuerda of organic fertilizer applied twice</t>
    <phoneticPr fontId="14" type="noConversion"/>
  </si>
  <si>
    <t>3 lb bloom yields 4 oz of dried seed; blooms are 1.5-3 lbs</t>
    <phoneticPr fontId="14" type="noConversion"/>
  </si>
  <si>
    <t>Corn sale price here is 150-200Q/quintal</t>
    <phoneticPr fontId="14" type="noConversion"/>
  </si>
  <si>
    <t>Popping takes him 1 hour to fill 4-5 11o containers; With a machine can pop 1 quintal in 3 hours</t>
    <phoneticPr fontId="14" type="noConversion"/>
  </si>
  <si>
    <t>-strainer/sifter</t>
    <phoneticPr fontId="14" type="noConversion"/>
  </si>
  <si>
    <t>-harvesting - wood chipper machine</t>
    <phoneticPr fontId="14" type="noConversion"/>
  </si>
  <si>
    <t>250Q/day</t>
    <phoneticPr fontId="14" type="noConversion"/>
  </si>
  <si>
    <t>150Q/day for machine; 100 Q/day for operator - 3 hours to harvest 1.5 cuerda</t>
    <phoneticPr fontId="14" type="noConversion"/>
  </si>
  <si>
    <t>Cheimcal fertilizer raises the cost of production</t>
    <phoneticPr fontId="14" type="noConversion"/>
  </si>
  <si>
    <t>1.5 quintal/cuerda</t>
    <phoneticPr fontId="14" type="noConversion"/>
  </si>
  <si>
    <t>Half of  the 30 municipalities we are looking at have humid soil that retains water</t>
    <phoneticPr fontId="14" type="noConversion"/>
  </si>
  <si>
    <t>People in or near San Marcos are willing to pay 75 Q/kilo for Amaranth</t>
    <phoneticPr fontId="14" type="noConversion"/>
  </si>
  <si>
    <t>1200 Q/quintal</t>
    <phoneticPr fontId="14" type="noConversion"/>
  </si>
  <si>
    <t>25 Q/11 oz</t>
    <phoneticPr fontId="14" type="noConversion"/>
  </si>
  <si>
    <t>Big, 4 sq m , plastic bags</t>
    <phoneticPr fontId="14" type="noConversion"/>
  </si>
  <si>
    <t>Commercialization</t>
    <phoneticPr fontId="14" type="noConversion"/>
  </si>
  <si>
    <t>Packaging</t>
    <phoneticPr fontId="14" type="noConversion"/>
  </si>
  <si>
    <t>110Q/1000 containers</t>
    <phoneticPr fontId="14" type="noConversion"/>
  </si>
  <si>
    <t>Labels</t>
    <phoneticPr fontId="14" type="noConversion"/>
  </si>
  <si>
    <t>0.60 Q/110 stcikers</t>
    <phoneticPr fontId="14" type="noConversion"/>
  </si>
  <si>
    <t>has a total of 3 cuerdas</t>
    <phoneticPr fontId="14" type="noConversion"/>
  </si>
  <si>
    <t>-pan</t>
    <phoneticPr fontId="14" type="noConversion"/>
  </si>
  <si>
    <t>-popper</t>
    <phoneticPr fontId="14" type="noConversion"/>
  </si>
  <si>
    <t>12500 Q</t>
    <phoneticPr fontId="14" type="noConversion"/>
  </si>
  <si>
    <t>*price in 2004</t>
    <phoneticPr fontId="14" type="noConversion"/>
  </si>
  <si>
    <t>90% Germinataion rate for Juan Carlos's seed from the US</t>
    <phoneticPr fontId="14" type="noConversion"/>
  </si>
  <si>
    <t>11oz of raw seed -&gt; 11 oz of popped</t>
    <phoneticPr fontId="14" type="noConversion"/>
  </si>
  <si>
    <t>License</t>
    <phoneticPr fontId="14" type="noConversion"/>
  </si>
  <si>
    <t>6000-8000Q</t>
    <phoneticPr fontId="14" type="noConversion"/>
  </si>
  <si>
    <t>Allows seller to sell in markets</t>
    <phoneticPr fontId="14" type="noConversion"/>
  </si>
  <si>
    <t>Lab Fees</t>
    <phoneticPr fontId="14" type="noConversion"/>
  </si>
  <si>
    <t>volume bought</t>
  </si>
  <si>
    <t>1/2 lb popped</t>
  </si>
  <si>
    <t xml:space="preserve">1/4 lb popped </t>
  </si>
  <si>
    <t>1 lb flour</t>
  </si>
  <si>
    <t>1/2 lb flour</t>
  </si>
  <si>
    <t>10Q</t>
  </si>
  <si>
    <t>store prices</t>
  </si>
  <si>
    <t>wholesale prices</t>
  </si>
  <si>
    <t>buy at 11Q/lb raw grain</t>
  </si>
  <si>
    <t>sell at 20Q/lb raw grain for seed?</t>
  </si>
  <si>
    <t>sell at 40Q/lb popped</t>
  </si>
  <si>
    <t>10lb express shipment to Guatemala City is 40Q</t>
  </si>
  <si>
    <t>transportation costs</t>
  </si>
  <si>
    <t>membership fees</t>
  </si>
  <si>
    <t>high level operating budget numbers</t>
  </si>
  <si>
    <t>buy/sell prices</t>
  </si>
  <si>
    <t>sell price</t>
  </si>
  <si>
    <t>% consumed vs. sold</t>
  </si>
  <si>
    <t>costs of inputs</t>
  </si>
  <si>
    <t>yield/area</t>
  </si>
  <si>
    <t>labor intensity</t>
  </si>
  <si>
    <t>Cocinas con amaranto</t>
  </si>
  <si>
    <t>1 hectare = 8 tons leaves (bledo) for human consumption; 3 tons seeds; 100 tons nonusable plant material (8% protein, 23% fiber); 1.5 tons residual chaff (for birds);  [probably metric tons]</t>
  </si>
  <si>
    <t>Other Information</t>
    <phoneticPr fontId="14" type="noConversion"/>
  </si>
  <si>
    <t>20-25 Q/sac</t>
    <phoneticPr fontId="14" type="noConversion"/>
  </si>
  <si>
    <t>600-800</t>
    <phoneticPr fontId="14" type="noConversion"/>
  </si>
  <si>
    <t>total for 3 cuerda fertilizer for labor for planting and harvesting</t>
    <phoneticPr fontId="14" type="noConversion"/>
  </si>
  <si>
    <t>20% is for his family and and extended family</t>
    <phoneticPr fontId="14" type="noConversion"/>
  </si>
  <si>
    <t>sold atole of 8Q/lb of Amaranth mixed with other grains</t>
    <phoneticPr fontId="14" type="noConversion"/>
  </si>
  <si>
    <t>Government mandated minimum wage is 60-70Q/day</t>
    <phoneticPr fontId="14" type="noConversion"/>
  </si>
  <si>
    <t>In San Marcos, producers can use a maximum of 1 cuerda for amaranth</t>
    <phoneticPr fontId="14" type="noConversion"/>
  </si>
  <si>
    <t>RETAIL PRICES</t>
  </si>
  <si>
    <t>Item</t>
  </si>
  <si>
    <t>Quantity</t>
  </si>
  <si>
    <t>Moringa</t>
  </si>
  <si>
    <t>Super Veduras</t>
  </si>
  <si>
    <t>Chicakh</t>
  </si>
  <si>
    <t>granola</t>
  </si>
  <si>
    <t>1/2 lb</t>
  </si>
  <si>
    <t>38Q</t>
  </si>
  <si>
    <t>39Q</t>
  </si>
  <si>
    <t>1/4 lb</t>
  </si>
  <si>
    <t>35Q</t>
  </si>
  <si>
    <t>amaranth - popped</t>
  </si>
  <si>
    <t>25Q</t>
  </si>
  <si>
    <t>20Q</t>
  </si>
  <si>
    <t>amaranth - bars</t>
  </si>
  <si>
    <t>3 small bars</t>
  </si>
  <si>
    <t>15Q</t>
  </si>
  <si>
    <t>13Q</t>
  </si>
  <si>
    <t>amaranth  - square snacks (Lula's oven)</t>
  </si>
  <si>
    <t>1 large bag</t>
  </si>
  <si>
    <t>50Q</t>
  </si>
  <si>
    <t>amaranth - flour</t>
  </si>
  <si>
    <t>325 g</t>
  </si>
  <si>
    <t>37.10Q</t>
  </si>
  <si>
    <t>1 lb</t>
  </si>
  <si>
    <t>32Q</t>
  </si>
  <si>
    <t>amaranth - raw</t>
  </si>
  <si>
    <t>22Q</t>
  </si>
  <si>
    <t>amaranth/salpor - flour (50-50 mix)</t>
  </si>
  <si>
    <t>amaranth - seed</t>
  </si>
  <si>
    <t>1 oz</t>
  </si>
  <si>
    <t>8Q</t>
  </si>
  <si>
    <t>UNITS</t>
  </si>
  <si>
    <t>1 manzana</t>
  </si>
  <si>
    <t>0.7 hectare</t>
  </si>
  <si>
    <t>1 quintale</t>
  </si>
  <si>
    <t>100 lb</t>
  </si>
  <si>
    <t>OTHER DATA</t>
  </si>
  <si>
    <t>avg. adult eats 4 quintals of corn/year</t>
  </si>
  <si>
    <t>Chicakh Data</t>
  </si>
  <si>
    <t>don't pay more than 15Q/pound roasted; their price is 25Q per half pound roasted; 50Q per pound roasted</t>
  </si>
  <si>
    <t>Chicakh marks up by about 10% for operational/overhead costs</t>
  </si>
  <si>
    <t>Chicakh pays about 17% in taxes, legal costs, etc.</t>
  </si>
  <si>
    <t>buy raw amaranth from storage unit in raw form for ~7Q/lb</t>
  </si>
  <si>
    <t>amaranth yield numbers - from Chicakh cook book</t>
  </si>
  <si>
    <t>seed to sale about 4-5 months depending on climate</t>
  </si>
  <si>
    <t>Start-up Costs</t>
  </si>
  <si>
    <t>Variable Costs</t>
  </si>
  <si>
    <t>hose</t>
  </si>
  <si>
    <t>tarp</t>
  </si>
  <si>
    <t>baskets</t>
  </si>
  <si>
    <t>land</t>
  </si>
  <si>
    <t>EQUIPMENT</t>
  </si>
  <si>
    <t>-basic hand tools</t>
  </si>
  <si>
    <t>-irrigation/bucket system</t>
  </si>
  <si>
    <t>-tarp</t>
  </si>
  <si>
    <t>-baskets</t>
  </si>
  <si>
    <t>-strainer/sifter</t>
  </si>
  <si>
    <t>-storage container</t>
  </si>
  <si>
    <t>-storage structure</t>
  </si>
  <si>
    <t>-stove</t>
  </si>
  <si>
    <t>-pan.popper</t>
  </si>
  <si>
    <t>-mill/grinder</t>
  </si>
  <si>
    <t>training</t>
  </si>
  <si>
    <t>seed</t>
  </si>
  <si>
    <t>water</t>
  </si>
  <si>
    <t>fertilizer</t>
  </si>
  <si>
    <t>labor</t>
  </si>
  <si>
    <t>membership dues</t>
  </si>
  <si>
    <t>insecticide</t>
  </si>
  <si>
    <t>manure</t>
  </si>
  <si>
    <t>legal fees</t>
  </si>
  <si>
    <t>building</t>
  </si>
  <si>
    <t>seed storage</t>
  </si>
  <si>
    <t>office furnature</t>
  </si>
  <si>
    <t>bank account</t>
  </si>
  <si>
    <t>computers</t>
  </si>
  <si>
    <t>utilities</t>
  </si>
  <si>
    <t>webstite</t>
  </si>
  <si>
    <t>marketing</t>
  </si>
  <si>
    <t>office supplies</t>
  </si>
  <si>
    <t>salaries</t>
  </si>
  <si>
    <t>truck</t>
  </si>
  <si>
    <t>building (rent)</t>
  </si>
  <si>
    <t>packaging materials</t>
  </si>
  <si>
    <t>ASSOCIATION</t>
  </si>
  <si>
    <t>FARMER</t>
  </si>
  <si>
    <t>transport</t>
  </si>
  <si>
    <t>24Q/yr</t>
  </si>
  <si>
    <t>amaranth sale price to association: 800-1100 Q/q</t>
  </si>
  <si>
    <t>yield</t>
  </si>
  <si>
    <t>75-350 lbs/cuerda (cuerda is 440 m^2)</t>
  </si>
  <si>
    <t>3 months to grow in this area</t>
  </si>
  <si>
    <t>volume sold</t>
  </si>
  <si>
    <t>OTHER INFO TO GET</t>
  </si>
  <si>
    <t>SMALL FARMER AMARANTH INCOME STATEMENT</t>
  </si>
  <si>
    <t>INCOME</t>
  </si>
  <si>
    <t>Info/Comments</t>
  </si>
  <si>
    <t>EXPENSES</t>
  </si>
  <si>
    <t>Seed</t>
  </si>
  <si>
    <t>Fertilizer</t>
  </si>
  <si>
    <t>PROFIT</t>
  </si>
  <si>
    <t>Total Expenses</t>
  </si>
  <si>
    <t>Total Income</t>
  </si>
  <si>
    <t>Irrigation</t>
  </si>
  <si>
    <t>Worst Case</t>
  </si>
  <si>
    <t>Best Case</t>
  </si>
  <si>
    <t>AMARANTH ASSOCIATION INCOME STATEMENT</t>
  </si>
  <si>
    <t>Purchase Expense</t>
  </si>
  <si>
    <t>Transportation</t>
  </si>
  <si>
    <t>Packaging</t>
  </si>
  <si>
    <t>% Consumed</t>
  </si>
  <si>
    <t>Popped</t>
  </si>
  <si>
    <t>Flour</t>
  </si>
  <si>
    <t xml:space="preserve">   Amt. Sold (lb)</t>
  </si>
  <si>
    <t>Overhead</t>
  </si>
  <si>
    <r>
      <t xml:space="preserve">   Purchase Price</t>
    </r>
    <r>
      <rPr>
        <sz val="9"/>
        <color theme="1"/>
        <rFont val="Menlo Regular"/>
        <family val="2"/>
      </rPr>
      <t xml:space="preserve"> (GTQ/qq)</t>
    </r>
  </si>
  <si>
    <r>
      <t xml:space="preserve">   Purchase Amt.</t>
    </r>
    <r>
      <rPr>
        <sz val="9"/>
        <color theme="1"/>
        <rFont val="Menlo Regular"/>
        <family val="2"/>
      </rPr>
      <t xml:space="preserve"> (qq)</t>
    </r>
  </si>
  <si>
    <t>Yield (qq/cuerda)</t>
  </si>
  <si>
    <t>Amt. Cultivated (cuerdas)</t>
  </si>
  <si>
    <t>% Popped</t>
  </si>
  <si>
    <t>Alegria</t>
  </si>
  <si>
    <t>% Flour</t>
  </si>
  <si>
    <t>% Alegria</t>
  </si>
  <si>
    <t>need to calculate</t>
  </si>
  <si>
    <t xml:space="preserve">   Lab Fees</t>
  </si>
  <si>
    <t>30-50 Q/qq to GC</t>
  </si>
  <si>
    <t xml:space="preserve">   Popper (depreciated 3 yr.)</t>
  </si>
  <si>
    <t>Per year</t>
  </si>
  <si>
    <t>12500 Q / 3 yr</t>
  </si>
  <si>
    <t># Members</t>
  </si>
  <si>
    <t>Membership fees (GTQ/yr)</t>
  </si>
  <si>
    <t xml:space="preserve">   Sale Price (GTQ/lb)</t>
  </si>
  <si>
    <t>???</t>
  </si>
  <si>
    <t>Labor</t>
  </si>
  <si>
    <t>To Final Customer</t>
  </si>
  <si>
    <t>Taxes</t>
  </si>
  <si>
    <t>GTQ/lb</t>
  </si>
  <si>
    <t>USD</t>
  </si>
  <si>
    <t>Source</t>
  </si>
  <si>
    <t>Lb</t>
  </si>
  <si>
    <t>GTQ</t>
  </si>
  <si>
    <t>Super Verduras</t>
  </si>
  <si>
    <t>ALEGRIA</t>
  </si>
  <si>
    <t>Chikach</t>
  </si>
  <si>
    <t>Value Chain</t>
  </si>
  <si>
    <t>Farmer</t>
  </si>
  <si>
    <t>Aggregator</t>
  </si>
  <si>
    <t>-</t>
  </si>
  <si>
    <t>Resale</t>
  </si>
  <si>
    <t>⇒</t>
  </si>
  <si>
    <t>per pound</t>
  </si>
  <si>
    <t>Cruda</t>
  </si>
  <si>
    <t>Harina</t>
  </si>
  <si>
    <t>Poporopo</t>
  </si>
  <si>
    <t>Artesano</t>
  </si>
  <si>
    <t>Artesano Store</t>
  </si>
  <si>
    <r>
      <rPr>
        <sz val="9"/>
        <color theme="1"/>
        <rFont val="Menlo Regular"/>
        <family val="2"/>
      </rPr>
      <t>Qachuu</t>
    </r>
    <r>
      <rPr>
        <sz val="9"/>
        <color theme="1"/>
        <rFont val="Menlo Regular"/>
        <family val="2"/>
      </rPr>
      <t xml:space="preserve"> Aloom</t>
    </r>
  </si>
  <si>
    <t>Kulb'aalib' Xe'chulub'</t>
  </si>
  <si>
    <t>Kuchub'al (Atitlan)</t>
  </si>
  <si>
    <t>Granola</t>
  </si>
  <si>
    <t>Training</t>
  </si>
  <si>
    <t xml:space="preserve">   Marketing</t>
  </si>
  <si>
    <t>assumes once/mo, 30GTQ/person</t>
  </si>
  <si>
    <t>GRANOLA</t>
  </si>
  <si>
    <t>assume 17% tax rate</t>
  </si>
  <si>
    <t>PROFIT MARGIN</t>
  </si>
  <si>
    <t>GTQ/bar</t>
  </si>
  <si>
    <t>lb. am/bar</t>
  </si>
  <si>
    <t>1000g=2.2lb</t>
  </si>
  <si>
    <t>g = 1 lb</t>
  </si>
  <si>
    <t>g. am/bar</t>
  </si>
  <si>
    <t>1 cuerda</t>
  </si>
  <si>
    <t>1 ha</t>
  </si>
  <si>
    <t>1 ha = xxx cuerda</t>
  </si>
  <si>
    <t>Land</t>
  </si>
  <si>
    <t>Inputs</t>
  </si>
  <si>
    <t>Total Costs</t>
  </si>
  <si>
    <t>Yield</t>
  </si>
  <si>
    <t>Cost</t>
  </si>
  <si>
    <t>Price</t>
  </si>
  <si>
    <t>Income</t>
  </si>
  <si>
    <t>$</t>
  </si>
  <si>
    <t>End</t>
  </si>
  <si>
    <t>Averages</t>
  </si>
  <si>
    <t>Bars</t>
  </si>
  <si>
    <t>POPPED (POPOROPO)</t>
  </si>
  <si>
    <t>FLOUR (HARINA)</t>
  </si>
  <si>
    <t>AMARANTH</t>
  </si>
  <si>
    <t>CORN</t>
  </si>
  <si>
    <t>Sale Price (GTQ/qq)</t>
  </si>
  <si>
    <t>INDIVIDUAL FARMER</t>
  </si>
  <si>
    <t>-Tarp</t>
  </si>
  <si>
    <t>-Baskets</t>
  </si>
  <si>
    <t>-Basic hand tools</t>
  </si>
  <si>
    <t>-Irrigation system components</t>
  </si>
  <si>
    <t>-Strainer/sifter</t>
  </si>
  <si>
    <t>-Stove</t>
  </si>
  <si>
    <t>-Pan popper</t>
  </si>
  <si>
    <t>-Mill/grinder</t>
  </si>
  <si>
    <t>-Storage containers</t>
  </si>
  <si>
    <r>
      <t xml:space="preserve">   License</t>
    </r>
    <r>
      <rPr>
        <sz val="9"/>
        <color theme="1"/>
        <rFont val="Menlo Regular"/>
        <family val="2"/>
      </rPr>
      <t xml:space="preserve"> (depreciatd 3 yr.)</t>
    </r>
  </si>
  <si>
    <t xml:space="preserve">   Building Maintenance</t>
  </si>
  <si>
    <t xml:space="preserve">   Utilities</t>
  </si>
  <si>
    <t>Typical</t>
  </si>
  <si>
    <t>add</t>
  </si>
  <si>
    <t>Popped (poporopo)</t>
  </si>
  <si>
    <t>Flour (harina)</t>
  </si>
  <si>
    <r>
      <t>Units</t>
    </r>
    <r>
      <rPr>
        <sz val="9"/>
        <color theme="1"/>
        <rFont val="Menlo Regular"/>
        <family val="2"/>
      </rPr>
      <t xml:space="preserve"> Sold</t>
    </r>
    <r>
      <rPr>
        <sz val="9"/>
        <color theme="1"/>
        <rFont val="Menlo Regular"/>
        <family val="2"/>
      </rPr>
      <t xml:space="preserve"> (assume 1 lb)</t>
    </r>
  </si>
  <si>
    <t>Assn.</t>
  </si>
  <si>
    <t>-offices</t>
  </si>
  <si>
    <t>-Storage facility</t>
  </si>
  <si>
    <t>-legal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</si>
</sst>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 * #,##0_)[$GTQ-486]_ ;_ * \(#,##0\)[$GTQ-486]_ ;_ * &quot;-&quot;_)[$GTQ-486]_ ;_ @_ "/>
    <numFmt numFmtId="165" formatCode="0.0"/>
    <numFmt numFmtId="166" formatCode="_(&quot;$&quot;* #,##0_);_(&quot;$&quot;* \(#,##0\);_(&quot;$&quot;* &quot;-&quot;??_);_(@_)"/>
    <numFmt numFmtId="167" formatCode="_([$GTQ]\ * #,##0.00_);_([$GTQ]\ * \(#,##0.00\);_([$GTQ]\ * &quot;-&quot;??_);_(@_)"/>
    <numFmt numFmtId="168" formatCode="_ * #,##0_)[$GTQ-486]_ ;_ * \(#,##0\)[$GTQ-486]_ ;_ * &quot;-&quot;??_)[$GTQ-486]_ ;_ @_ "/>
    <numFmt numFmtId="169" formatCode="0.000"/>
    <numFmt numFmtId="170" formatCode="#,##0.00[$GTQ-486]"/>
  </numFmts>
  <fonts count="25" x14ac:knownFonts="1">
    <font>
      <sz val="10"/>
      <color indexed="8"/>
      <name val="Arial"/>
    </font>
    <font>
      <sz val="9"/>
      <color theme="1"/>
      <name val="Menlo Regular"/>
      <family val="2"/>
    </font>
    <font>
      <sz val="9"/>
      <color theme="1"/>
      <name val="Menlo Regular"/>
      <family val="2"/>
    </font>
    <font>
      <sz val="9"/>
      <color theme="1"/>
      <name val="Menlo Regular"/>
      <family val="2"/>
    </font>
    <font>
      <sz val="9"/>
      <color theme="1"/>
      <name val="Menlo Regular"/>
      <family val="2"/>
    </font>
    <font>
      <sz val="9"/>
      <color indexed="8"/>
      <name val="Menlo Regular"/>
      <family val="2"/>
    </font>
    <font>
      <i/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Menlo Regular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9"/>
      <color indexed="8"/>
      <name val="Menlo Regular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Verdana"/>
    </font>
    <font>
      <sz val="10"/>
      <color indexed="8"/>
      <name val="Arial"/>
    </font>
    <font>
      <b/>
      <sz val="9"/>
      <color theme="1"/>
      <name val="Menlo Regular"/>
      <family val="2"/>
    </font>
    <font>
      <i/>
      <sz val="9"/>
      <color theme="1"/>
      <name val="Menlo Regular"/>
    </font>
    <font>
      <b/>
      <i/>
      <sz val="9"/>
      <color theme="1"/>
      <name val="Menlo Regular"/>
    </font>
    <font>
      <u/>
      <sz val="10"/>
      <color theme="10"/>
      <name val="Arial"/>
    </font>
    <font>
      <u/>
      <sz val="10"/>
      <color theme="11"/>
      <name val="Arial"/>
    </font>
    <font>
      <b/>
      <u/>
      <sz val="9"/>
      <color theme="1"/>
      <name val="Menlo Regular"/>
    </font>
    <font>
      <u/>
      <sz val="9"/>
      <color theme="1"/>
      <name val="Menlo Regular"/>
    </font>
    <font>
      <b/>
      <sz val="12"/>
      <color theme="1"/>
      <name val="Menlo Regular"/>
    </font>
    <font>
      <b/>
      <sz val="9"/>
      <color rgb="FF000000"/>
      <name val="Menlo 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4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83"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1"/>
    <xf numFmtId="0" fontId="8" fillId="0" borderId="0" xfId="1" applyFont="1"/>
    <xf numFmtId="0" fontId="5" fillId="0" borderId="0" xfId="1" quotePrefix="1"/>
    <xf numFmtId="0" fontId="5" fillId="0" borderId="0" xfId="1" applyBorder="1"/>
    <xf numFmtId="0" fontId="11" fillId="0" borderId="0" xfId="1" applyFont="1"/>
    <xf numFmtId="0" fontId="8" fillId="0" borderId="0" xfId="1" applyFont="1" applyAlignment="1"/>
    <xf numFmtId="0" fontId="5" fillId="0" borderId="0" xfId="1" applyBorder="1" applyAlignment="1"/>
    <xf numFmtId="0" fontId="5" fillId="0" borderId="0" xfId="1" applyAlignment="1"/>
    <xf numFmtId="0" fontId="5" fillId="0" borderId="0" xfId="1" quotePrefix="1" applyAlignment="1"/>
    <xf numFmtId="0" fontId="5" fillId="0" borderId="0" xfId="1" quotePrefix="1" applyFont="1" applyAlignment="1"/>
    <xf numFmtId="0" fontId="5" fillId="0" borderId="0" xfId="1" applyFont="1" applyAlignment="1"/>
    <xf numFmtId="0" fontId="11" fillId="0" borderId="0" xfId="1" applyFont="1" applyAlignment="1"/>
    <xf numFmtId="9" fontId="5" fillId="0" borderId="0" xfId="1" applyNumberFormat="1" applyAlignment="1"/>
    <xf numFmtId="0" fontId="5" fillId="0" borderId="0" xfId="1" applyNumberFormat="1" applyAlignment="1"/>
    <xf numFmtId="0" fontId="4" fillId="0" borderId="0" xfId="5"/>
    <xf numFmtId="0" fontId="16" fillId="0" borderId="0" xfId="5" applyFont="1"/>
    <xf numFmtId="0" fontId="18" fillId="0" borderId="0" xfId="5" applyFont="1"/>
    <xf numFmtId="0" fontId="4" fillId="0" borderId="0" xfId="5" applyFont="1"/>
    <xf numFmtId="0" fontId="4" fillId="0" borderId="2" xfId="5" applyBorder="1"/>
    <xf numFmtId="0" fontId="4" fillId="0" borderId="4" xfId="5" applyBorder="1"/>
    <xf numFmtId="0" fontId="4" fillId="0" borderId="0" xfId="5" applyBorder="1"/>
    <xf numFmtId="0" fontId="4" fillId="0" borderId="5" xfId="5" applyBorder="1"/>
    <xf numFmtId="164" fontId="4" fillId="0" borderId="0" xfId="4" applyNumberFormat="1" applyFont="1" applyBorder="1"/>
    <xf numFmtId="164" fontId="4" fillId="0" borderId="5" xfId="4" applyNumberFormat="1" applyFont="1" applyBorder="1"/>
    <xf numFmtId="164" fontId="4" fillId="0" borderId="7" xfId="4" applyNumberFormat="1" applyFont="1" applyBorder="1"/>
    <xf numFmtId="164" fontId="4" fillId="0" borderId="8" xfId="4" applyNumberFormat="1" applyFont="1" applyBorder="1"/>
    <xf numFmtId="0" fontId="4" fillId="0" borderId="12" xfId="5" applyFont="1" applyBorder="1"/>
    <xf numFmtId="0" fontId="16" fillId="0" borderId="12" xfId="5" applyFont="1" applyBorder="1"/>
    <xf numFmtId="0" fontId="16" fillId="0" borderId="3" xfId="5" applyFont="1" applyBorder="1"/>
    <xf numFmtId="37" fontId="4" fillId="0" borderId="0" xfId="4" applyNumberFormat="1" applyFont="1" applyBorder="1"/>
    <xf numFmtId="37" fontId="4" fillId="0" borderId="5" xfId="4" applyNumberFormat="1" applyFont="1" applyBorder="1"/>
    <xf numFmtId="0" fontId="16" fillId="0" borderId="0" xfId="5" applyFont="1" applyAlignment="1">
      <alignment horizontal="center"/>
    </xf>
    <xf numFmtId="0" fontId="3" fillId="0" borderId="12" xfId="5" applyFont="1" applyBorder="1"/>
    <xf numFmtId="9" fontId="4" fillId="0" borderId="0" xfId="5" applyNumberFormat="1" applyBorder="1"/>
    <xf numFmtId="9" fontId="4" fillId="0" borderId="5" xfId="5" applyNumberFormat="1" applyBorder="1"/>
    <xf numFmtId="0" fontId="4" fillId="0" borderId="13" xfId="5" applyBorder="1"/>
    <xf numFmtId="0" fontId="3" fillId="0" borderId="0" xfId="5" applyFont="1"/>
    <xf numFmtId="165" fontId="0" fillId="0" borderId="0" xfId="0" applyNumberFormat="1" applyAlignment="1">
      <alignment wrapText="1"/>
    </xf>
    <xf numFmtId="0" fontId="22" fillId="0" borderId="0" xfId="5" applyFont="1"/>
    <xf numFmtId="9" fontId="3" fillId="0" borderId="0" xfId="5" applyNumberFormat="1" applyFont="1"/>
    <xf numFmtId="9" fontId="4" fillId="0" borderId="0" xfId="5" applyNumberFormat="1"/>
    <xf numFmtId="166" fontId="4" fillId="0" borderId="0" xfId="4" applyNumberFormat="1" applyFont="1"/>
    <xf numFmtId="166" fontId="3" fillId="0" borderId="0" xfId="4" applyNumberFormat="1" applyFont="1"/>
    <xf numFmtId="0" fontId="3" fillId="0" borderId="0" xfId="49"/>
    <xf numFmtId="0" fontId="16" fillId="0" borderId="0" xfId="49" applyFont="1"/>
    <xf numFmtId="0" fontId="3" fillId="0" borderId="0" xfId="49" applyAlignment="1">
      <alignment horizontal="center"/>
    </xf>
    <xf numFmtId="9" fontId="3" fillId="0" borderId="0" xfId="18" applyFont="1"/>
    <xf numFmtId="2" fontId="4" fillId="0" borderId="0" xfId="5" applyNumberFormat="1"/>
    <xf numFmtId="0" fontId="2" fillId="0" borderId="0" xfId="80"/>
    <xf numFmtId="167" fontId="2" fillId="0" borderId="0" xfId="80" quotePrefix="1" applyNumberFormat="1" applyAlignment="1">
      <alignment horizontal="center"/>
    </xf>
    <xf numFmtId="0" fontId="2" fillId="0" borderId="0" xfId="80" applyAlignment="1">
      <alignment horizontal="center"/>
    </xf>
    <xf numFmtId="167" fontId="2" fillId="0" borderId="0" xfId="80" applyNumberFormat="1" applyAlignment="1">
      <alignment horizontal="center"/>
    </xf>
    <xf numFmtId="9" fontId="2" fillId="0" borderId="0" xfId="18" applyFont="1" applyAlignment="1">
      <alignment horizontal="center"/>
    </xf>
    <xf numFmtId="0" fontId="16" fillId="0" borderId="0" xfId="80" applyFont="1" applyAlignment="1">
      <alignment horizontal="center"/>
    </xf>
    <xf numFmtId="9" fontId="2" fillId="0" borderId="0" xfId="18" quotePrefix="1" applyFont="1" applyAlignment="1">
      <alignment horizontal="center"/>
    </xf>
    <xf numFmtId="9" fontId="23" fillId="0" borderId="0" xfId="18" applyFont="1" applyAlignment="1">
      <alignment horizontal="center"/>
    </xf>
    <xf numFmtId="0" fontId="17" fillId="0" borderId="0" xfId="80" applyFont="1"/>
    <xf numFmtId="0" fontId="2" fillId="0" borderId="0" xfId="49" applyFont="1"/>
    <xf numFmtId="168" fontId="4" fillId="0" borderId="7" xfId="4" applyNumberFormat="1" applyFont="1" applyBorder="1"/>
    <xf numFmtId="0" fontId="2" fillId="0" borderId="12" xfId="5" applyFont="1" applyBorder="1"/>
    <xf numFmtId="0" fontId="2" fillId="0" borderId="0" xfId="5" applyFont="1"/>
    <xf numFmtId="44" fontId="4" fillId="0" borderId="0" xfId="4" applyFont="1"/>
    <xf numFmtId="9" fontId="4" fillId="0" borderId="7" xfId="18" applyFont="1" applyBorder="1"/>
    <xf numFmtId="9" fontId="4" fillId="0" borderId="8" xfId="18" applyFont="1" applyBorder="1"/>
    <xf numFmtId="0" fontId="2" fillId="0" borderId="0" xfId="49" applyFont="1" applyAlignment="1">
      <alignment horizontal="center"/>
    </xf>
    <xf numFmtId="169" fontId="2" fillId="0" borderId="0" xfId="49" applyNumberFormat="1" applyFont="1"/>
    <xf numFmtId="0" fontId="16" fillId="0" borderId="0" xfId="49" applyFont="1" applyAlignment="1">
      <alignment vertical="center" textRotation="90"/>
    </xf>
    <xf numFmtId="0" fontId="3" fillId="0" borderId="0" xfId="49" applyBorder="1" applyAlignment="1">
      <alignment horizontal="center"/>
    </xf>
    <xf numFmtId="0" fontId="3" fillId="0" borderId="2" xfId="49" applyBorder="1" applyAlignment="1">
      <alignment horizontal="center"/>
    </xf>
    <xf numFmtId="0" fontId="3" fillId="0" borderId="11" xfId="49" applyBorder="1"/>
    <xf numFmtId="0" fontId="3" fillId="0" borderId="12" xfId="49" applyBorder="1"/>
    <xf numFmtId="2" fontId="3" fillId="0" borderId="4" xfId="49" applyNumberFormat="1" applyBorder="1" applyAlignment="1">
      <alignment horizontal="center"/>
    </xf>
    <xf numFmtId="2" fontId="3" fillId="0" borderId="13" xfId="49" applyNumberFormat="1" applyBorder="1" applyAlignment="1">
      <alignment horizontal="center"/>
    </xf>
    <xf numFmtId="0" fontId="2" fillId="0" borderId="11" xfId="49" applyFont="1" applyBorder="1"/>
    <xf numFmtId="0" fontId="2" fillId="0" borderId="12" xfId="49" applyFont="1" applyBorder="1"/>
    <xf numFmtId="0" fontId="2" fillId="0" borderId="17" xfId="49" applyFont="1" applyBorder="1"/>
    <xf numFmtId="2" fontId="2" fillId="0" borderId="0" xfId="5" applyNumberFormat="1" applyFont="1"/>
    <xf numFmtId="0" fontId="2" fillId="0" borderId="5" xfId="5" applyFont="1" applyBorder="1"/>
    <xf numFmtId="9" fontId="2" fillId="0" borderId="5" xfId="5" applyNumberFormat="1" applyFont="1" applyBorder="1"/>
    <xf numFmtId="164" fontId="2" fillId="0" borderId="8" xfId="4" applyNumberFormat="1" applyFont="1" applyBorder="1"/>
    <xf numFmtId="0" fontId="2" fillId="0" borderId="14" xfId="5" applyFont="1" applyBorder="1"/>
    <xf numFmtId="164" fontId="2" fillId="0" borderId="5" xfId="4" applyNumberFormat="1" applyFont="1" applyBorder="1"/>
    <xf numFmtId="1" fontId="2" fillId="0" borderId="0" xfId="5" applyNumberFormat="1" applyFont="1"/>
    <xf numFmtId="0" fontId="5" fillId="0" borderId="0" xfId="0" applyFont="1" applyAlignment="1">
      <alignment wrapText="1"/>
    </xf>
    <xf numFmtId="0" fontId="16" fillId="0" borderId="6" xfId="5" applyFont="1" applyBorder="1" applyAlignment="1">
      <alignment horizontal="center"/>
    </xf>
    <xf numFmtId="0" fontId="16" fillId="0" borderId="8" xfId="5" applyFont="1" applyBorder="1" applyAlignment="1">
      <alignment horizontal="center"/>
    </xf>
    <xf numFmtId="9" fontId="2" fillId="0" borderId="8" xfId="18" applyFont="1" applyBorder="1"/>
    <xf numFmtId="0" fontId="8" fillId="0" borderId="3" xfId="0" applyFont="1" applyBorder="1" applyAlignment="1">
      <alignment horizontal="center" wrapText="1"/>
    </xf>
    <xf numFmtId="9" fontId="2" fillId="0" borderId="12" xfId="5" applyNumberFormat="1" applyFont="1" applyBorder="1"/>
    <xf numFmtId="164" fontId="2" fillId="0" borderId="3" xfId="4" applyNumberFormat="1" applyFont="1" applyBorder="1"/>
    <xf numFmtId="0" fontId="16" fillId="0" borderId="0" xfId="80" applyFont="1"/>
    <xf numFmtId="0" fontId="2" fillId="0" borderId="0" xfId="80" quotePrefix="1"/>
    <xf numFmtId="0" fontId="17" fillId="0" borderId="0" xfId="5" applyFont="1" applyAlignment="1">
      <alignment horizontal="center"/>
    </xf>
    <xf numFmtId="0" fontId="16" fillId="0" borderId="3" xfId="5" applyFont="1" applyBorder="1" applyAlignment="1">
      <alignment horizontal="center"/>
    </xf>
    <xf numFmtId="164" fontId="2" fillId="0" borderId="12" xfId="4" applyNumberFormat="1" applyFont="1" applyBorder="1"/>
    <xf numFmtId="9" fontId="2" fillId="0" borderId="3" xfId="18" applyFont="1" applyBorder="1"/>
    <xf numFmtId="0" fontId="2" fillId="0" borderId="5" xfId="5" applyFont="1" applyFill="1" applyBorder="1"/>
    <xf numFmtId="164" fontId="17" fillId="0" borderId="0" xfId="4" applyNumberFormat="1" applyFont="1" applyBorder="1" applyAlignment="1">
      <alignment horizontal="center"/>
    </xf>
    <xf numFmtId="164" fontId="17" fillId="0" borderId="5" xfId="4" applyNumberFormat="1" applyFont="1" applyBorder="1" applyAlignment="1">
      <alignment horizontal="center"/>
    </xf>
    <xf numFmtId="2" fontId="3" fillId="0" borderId="2" xfId="49" applyNumberFormat="1" applyBorder="1" applyAlignment="1">
      <alignment horizontal="center"/>
    </xf>
    <xf numFmtId="2" fontId="3" fillId="0" borderId="0" xfId="49" applyNumberFormat="1" applyBorder="1" applyAlignment="1">
      <alignment horizontal="center"/>
    </xf>
    <xf numFmtId="2" fontId="3" fillId="0" borderId="16" xfId="49" applyNumberFormat="1" applyBorder="1" applyAlignment="1">
      <alignment horizontal="center"/>
    </xf>
    <xf numFmtId="165" fontId="3" fillId="0" borderId="0" xfId="49" applyNumberFormat="1" applyBorder="1" applyAlignment="1">
      <alignment horizontal="center"/>
    </xf>
    <xf numFmtId="165" fontId="3" fillId="0" borderId="2" xfId="49" applyNumberFormat="1" applyBorder="1" applyAlignment="1">
      <alignment horizontal="center"/>
    </xf>
    <xf numFmtId="165" fontId="3" fillId="0" borderId="16" xfId="49" applyNumberFormat="1" applyBorder="1" applyAlignment="1">
      <alignment horizontal="center"/>
    </xf>
    <xf numFmtId="2" fontId="3" fillId="0" borderId="5" xfId="49" applyNumberFormat="1" applyBorder="1" applyAlignment="1">
      <alignment horizontal="center"/>
    </xf>
    <xf numFmtId="1" fontId="3" fillId="0" borderId="2" xfId="49" applyNumberFormat="1" applyBorder="1" applyAlignment="1">
      <alignment horizontal="center"/>
    </xf>
    <xf numFmtId="1" fontId="3" fillId="0" borderId="16" xfId="49" applyNumberFormat="1" applyBorder="1" applyAlignment="1">
      <alignment horizontal="center"/>
    </xf>
    <xf numFmtId="2" fontId="3" fillId="0" borderId="0" xfId="5" applyNumberFormat="1" applyFont="1"/>
    <xf numFmtId="0" fontId="3" fillId="0" borderId="11" xfId="5" applyFont="1" applyBorder="1"/>
    <xf numFmtId="9" fontId="4" fillId="0" borderId="2" xfId="5" applyNumberFormat="1" applyBorder="1"/>
    <xf numFmtId="9" fontId="4" fillId="0" borderId="4" xfId="5" applyNumberFormat="1" applyBorder="1"/>
    <xf numFmtId="0" fontId="3" fillId="0" borderId="17" xfId="5" applyFont="1" applyBorder="1"/>
    <xf numFmtId="9" fontId="4" fillId="0" borderId="16" xfId="5" applyNumberFormat="1" applyBorder="1"/>
    <xf numFmtId="9" fontId="4" fillId="0" borderId="13" xfId="5" applyNumberFormat="1" applyBorder="1"/>
    <xf numFmtId="0" fontId="17" fillId="0" borderId="12" xfId="5" applyFont="1" applyBorder="1"/>
    <xf numFmtId="0" fontId="4" fillId="0" borderId="16" xfId="5" applyBorder="1"/>
    <xf numFmtId="2" fontId="3" fillId="0" borderId="0" xfId="49" applyNumberFormat="1" applyAlignment="1">
      <alignment horizontal="center" vertical="center"/>
    </xf>
    <xf numFmtId="3" fontId="4" fillId="0" borderId="0" xfId="5" applyNumberFormat="1" applyBorder="1"/>
    <xf numFmtId="3" fontId="4" fillId="0" borderId="5" xfId="5" applyNumberFormat="1" applyBorder="1"/>
    <xf numFmtId="170" fontId="4" fillId="0" borderId="0" xfId="4" applyNumberFormat="1" applyFont="1" applyBorder="1"/>
    <xf numFmtId="170" fontId="4" fillId="0" borderId="0" xfId="5" applyNumberFormat="1" applyBorder="1"/>
    <xf numFmtId="170" fontId="4" fillId="0" borderId="5" xfId="5" applyNumberFormat="1" applyBorder="1"/>
    <xf numFmtId="170" fontId="4" fillId="0" borderId="2" xfId="4" applyNumberFormat="1" applyFont="1" applyBorder="1"/>
    <xf numFmtId="170" fontId="4" fillId="0" borderId="4" xfId="4" applyNumberFormat="1" applyFont="1" applyBorder="1"/>
    <xf numFmtId="0" fontId="4" fillId="0" borderId="17" xfId="5" applyFont="1" applyBorder="1"/>
    <xf numFmtId="164" fontId="4" fillId="0" borderId="16" xfId="4" applyNumberFormat="1" applyFont="1" applyBorder="1"/>
    <xf numFmtId="164" fontId="4" fillId="0" borderId="13" xfId="4" applyNumberFormat="1" applyFont="1" applyBorder="1"/>
    <xf numFmtId="0" fontId="21" fillId="2" borderId="11" xfId="5" applyFont="1" applyFill="1" applyBorder="1"/>
    <xf numFmtId="0" fontId="4" fillId="2" borderId="2" xfId="5" applyFill="1" applyBorder="1"/>
    <xf numFmtId="0" fontId="4" fillId="2" borderId="4" xfId="5" applyFill="1" applyBorder="1"/>
    <xf numFmtId="0" fontId="16" fillId="3" borderId="9" xfId="5" applyFont="1" applyFill="1" applyBorder="1"/>
    <xf numFmtId="164" fontId="16" fillId="3" borderId="1" xfId="4" applyNumberFormat="1" applyFont="1" applyFill="1" applyBorder="1"/>
    <xf numFmtId="164" fontId="16" fillId="3" borderId="10" xfId="4" applyNumberFormat="1" applyFont="1" applyFill="1" applyBorder="1"/>
    <xf numFmtId="0" fontId="21" fillId="2" borderId="12" xfId="5" applyFont="1" applyFill="1" applyBorder="1"/>
    <xf numFmtId="0" fontId="4" fillId="2" borderId="0" xfId="5" applyFill="1" applyBorder="1"/>
    <xf numFmtId="0" fontId="4" fillId="2" borderId="5" xfId="5" applyFill="1" applyBorder="1"/>
    <xf numFmtId="0" fontId="2" fillId="2" borderId="11" xfId="5" applyFont="1" applyFill="1" applyBorder="1"/>
    <xf numFmtId="0" fontId="2" fillId="2" borderId="4" xfId="5" applyFont="1" applyFill="1" applyBorder="1"/>
    <xf numFmtId="0" fontId="2" fillId="2" borderId="12" xfId="5" applyFont="1" applyFill="1" applyBorder="1"/>
    <xf numFmtId="0" fontId="2" fillId="2" borderId="5" xfId="5" applyFont="1" applyFill="1" applyBorder="1"/>
    <xf numFmtId="164" fontId="16" fillId="3" borderId="9" xfId="4" applyNumberFormat="1" applyFont="1" applyFill="1" applyBorder="1"/>
    <xf numFmtId="0" fontId="16" fillId="3" borderId="3" xfId="5" applyFont="1" applyFill="1" applyBorder="1"/>
    <xf numFmtId="164" fontId="2" fillId="3" borderId="3" xfId="4" applyNumberFormat="1" applyFont="1" applyFill="1" applyBorder="1"/>
    <xf numFmtId="164" fontId="2" fillId="3" borderId="8" xfId="4" applyNumberFormat="1" applyFont="1" applyFill="1" applyBorder="1"/>
    <xf numFmtId="0" fontId="16" fillId="0" borderId="0" xfId="5" applyFont="1" applyBorder="1" applyAlignment="1">
      <alignment horizontal="center"/>
    </xf>
    <xf numFmtId="164" fontId="16" fillId="3" borderId="0" xfId="4" applyNumberFormat="1" applyFont="1" applyFill="1" applyBorder="1"/>
    <xf numFmtId="9" fontId="4" fillId="0" borderId="0" xfId="18" applyFont="1" applyBorder="1"/>
    <xf numFmtId="0" fontId="21" fillId="2" borderId="3" xfId="5" applyFont="1" applyFill="1" applyBorder="1"/>
    <xf numFmtId="0" fontId="4" fillId="2" borderId="6" xfId="5" applyFill="1" applyBorder="1"/>
    <xf numFmtId="0" fontId="4" fillId="2" borderId="8" xfId="5" applyFill="1" applyBorder="1"/>
    <xf numFmtId="168" fontId="4" fillId="0" borderId="0" xfId="4" applyNumberFormat="1" applyFont="1" applyBorder="1"/>
    <xf numFmtId="0" fontId="16" fillId="0" borderId="0" xfId="5" applyFont="1" applyBorder="1"/>
    <xf numFmtId="0" fontId="16" fillId="2" borderId="3" xfId="49" applyFont="1" applyFill="1" applyBorder="1"/>
    <xf numFmtId="0" fontId="16" fillId="2" borderId="3" xfId="49" applyFont="1" applyFill="1" applyBorder="1" applyAlignment="1">
      <alignment horizontal="center"/>
    </xf>
    <xf numFmtId="0" fontId="16" fillId="2" borderId="3" xfId="49" applyFont="1" applyFill="1" applyBorder="1" applyAlignment="1">
      <alignment horizontal="center" vertical="center"/>
    </xf>
    <xf numFmtId="2" fontId="16" fillId="0" borderId="0" xfId="49" applyNumberFormat="1" applyFont="1" applyAlignment="1">
      <alignment horizontal="center" vertical="center"/>
    </xf>
    <xf numFmtId="165" fontId="3" fillId="0" borderId="0" xfId="49" applyNumberFormat="1" applyAlignment="1">
      <alignment horizontal="center"/>
    </xf>
    <xf numFmtId="0" fontId="16" fillId="2" borderId="3" xfId="49" applyFont="1" applyFill="1" applyBorder="1" applyAlignment="1">
      <alignment horizontal="left"/>
    </xf>
    <xf numFmtId="0" fontId="8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6" fillId="0" borderId="0" xfId="5" applyFont="1" applyAlignment="1">
      <alignment horizontal="center"/>
    </xf>
    <xf numFmtId="0" fontId="16" fillId="0" borderId="0" xfId="49" applyFont="1" applyAlignment="1">
      <alignment horizontal="center"/>
    </xf>
    <xf numFmtId="0" fontId="16" fillId="0" borderId="3" xfId="49" applyFont="1" applyBorder="1" applyAlignment="1">
      <alignment horizontal="center" vertical="center" textRotation="90"/>
    </xf>
    <xf numFmtId="0" fontId="24" fillId="0" borderId="3" xfId="0" applyFont="1" applyBorder="1" applyAlignment="1">
      <alignment horizontal="center" vertical="center" textRotation="90"/>
    </xf>
    <xf numFmtId="0" fontId="16" fillId="4" borderId="3" xfId="49" applyFont="1" applyFill="1" applyBorder="1" applyAlignment="1">
      <alignment horizontal="center"/>
    </xf>
    <xf numFmtId="0" fontId="16" fillId="4" borderId="3" xfId="49" applyFont="1" applyFill="1" applyBorder="1" applyAlignment="1">
      <alignment horizontal="center" vertical="center"/>
    </xf>
    <xf numFmtId="2" fontId="16" fillId="0" borderId="11" xfId="49" applyNumberFormat="1" applyFont="1" applyBorder="1" applyAlignment="1">
      <alignment horizontal="center" vertical="center"/>
    </xf>
    <xf numFmtId="2" fontId="16" fillId="0" borderId="12" xfId="49" applyNumberFormat="1" applyFont="1" applyBorder="1" applyAlignment="1">
      <alignment horizontal="center" vertical="center"/>
    </xf>
    <xf numFmtId="2" fontId="16" fillId="0" borderId="17" xfId="49" applyNumberFormat="1" applyFont="1" applyBorder="1" applyAlignment="1">
      <alignment horizontal="center" vertical="center"/>
    </xf>
    <xf numFmtId="2" fontId="16" fillId="0" borderId="12" xfId="49" applyNumberFormat="1" applyFont="1" applyBorder="1" applyAlignment="1">
      <alignment horizontal="center"/>
    </xf>
    <xf numFmtId="2" fontId="16" fillId="0" borderId="17" xfId="49" applyNumberFormat="1" applyFont="1" applyBorder="1" applyAlignment="1">
      <alignment horizontal="center"/>
    </xf>
    <xf numFmtId="0" fontId="16" fillId="4" borderId="15" xfId="49" applyFont="1" applyFill="1" applyBorder="1" applyAlignment="1">
      <alignment horizontal="center"/>
    </xf>
    <xf numFmtId="0" fontId="16" fillId="4" borderId="2" xfId="49" applyFont="1" applyFill="1" applyBorder="1" applyAlignment="1">
      <alignment horizontal="center"/>
    </xf>
    <xf numFmtId="0" fontId="16" fillId="4" borderId="4" xfId="49" applyFont="1" applyFill="1" applyBorder="1" applyAlignment="1">
      <alignment horizontal="center"/>
    </xf>
    <xf numFmtId="0" fontId="16" fillId="0" borderId="12" xfId="49" applyFont="1" applyBorder="1" applyAlignment="1">
      <alignment horizontal="center" vertical="center"/>
    </xf>
    <xf numFmtId="0" fontId="16" fillId="0" borderId="11" xfId="49" applyFont="1" applyBorder="1" applyAlignment="1">
      <alignment horizontal="center" vertical="center" textRotation="90"/>
    </xf>
    <xf numFmtId="0" fontId="16" fillId="0" borderId="17" xfId="49" applyFont="1" applyBorder="1" applyAlignment="1">
      <alignment horizontal="center" vertical="center" textRotation="90"/>
    </xf>
    <xf numFmtId="0" fontId="1" fillId="0" borderId="0" xfId="80" quotePrefix="1" applyFont="1"/>
  </cellXfs>
  <cellStyles count="289">
    <cellStyle name="Currency" xfId="4" builtinId="4"/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  <cellStyle name="Normal 2" xfId="1"/>
    <cellStyle name="Normal 3" xfId="5"/>
    <cellStyle name="Normal 4" xfId="49"/>
    <cellStyle name="Normal 5" xfId="80"/>
    <cellStyle name="Percent" xfId="18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3</xdr:row>
      <xdr:rowOff>63081</xdr:rowOff>
    </xdr:from>
    <xdr:to>
      <xdr:col>15</xdr:col>
      <xdr:colOff>779779</xdr:colOff>
      <xdr:row>27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510121"/>
          <a:ext cx="4681219" cy="3378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showGridLines="0" workbookViewId="0">
      <selection activeCell="B20" sqref="B20"/>
    </sheetView>
  </sheetViews>
  <sheetFormatPr baseColWidth="10" defaultColWidth="17.1640625" defaultRowHeight="12.75" customHeight="1" x14ac:dyDescent="0"/>
  <cols>
    <col min="1" max="1" width="51.1640625" customWidth="1"/>
  </cols>
  <sheetData>
    <row r="1" spans="1:20" ht="12.75" customHeight="1">
      <c r="A1" s="3" t="s">
        <v>103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2.75" customHeight="1">
      <c r="A2" s="3" t="s">
        <v>104</v>
      </c>
      <c r="B2" s="3" t="s">
        <v>105</v>
      </c>
      <c r="C2" s="3" t="s">
        <v>106</v>
      </c>
      <c r="D2" s="3" t="s">
        <v>107</v>
      </c>
      <c r="E2" s="3" t="s">
        <v>108</v>
      </c>
    </row>
    <row r="3" spans="1:20" ht="12.75" customHeight="1">
      <c r="A3" t="s">
        <v>109</v>
      </c>
      <c r="B3" t="s">
        <v>110</v>
      </c>
      <c r="C3" t="s">
        <v>111</v>
      </c>
      <c r="D3" t="s">
        <v>112</v>
      </c>
    </row>
    <row r="4" spans="1:20" ht="12.75" customHeight="1">
      <c r="A4" t="s">
        <v>109</v>
      </c>
      <c r="B4" t="s">
        <v>113</v>
      </c>
      <c r="D4" t="s">
        <v>114</v>
      </c>
    </row>
    <row r="5" spans="1:20" ht="12.75" customHeight="1">
      <c r="A5" t="s">
        <v>115</v>
      </c>
      <c r="B5" t="s">
        <v>110</v>
      </c>
      <c r="C5" t="s">
        <v>111</v>
      </c>
      <c r="D5" t="s">
        <v>111</v>
      </c>
      <c r="E5" t="s">
        <v>116</v>
      </c>
      <c r="F5">
        <f>2*38</f>
        <v>76</v>
      </c>
      <c r="G5">
        <f>2*38</f>
        <v>76</v>
      </c>
      <c r="H5">
        <f>2*25</f>
        <v>50</v>
      </c>
    </row>
    <row r="6" spans="1:20" ht="12.75" customHeight="1">
      <c r="A6" t="s">
        <v>115</v>
      </c>
      <c r="B6" t="s">
        <v>113</v>
      </c>
      <c r="C6" t="s">
        <v>117</v>
      </c>
      <c r="D6" t="s">
        <v>117</v>
      </c>
      <c r="F6">
        <f>4*20</f>
        <v>80</v>
      </c>
      <c r="G6">
        <f>4*20</f>
        <v>80</v>
      </c>
    </row>
    <row r="7" spans="1:20" ht="12.75" customHeight="1">
      <c r="A7" t="s">
        <v>118</v>
      </c>
      <c r="B7" t="s">
        <v>119</v>
      </c>
      <c r="C7" t="s">
        <v>120</v>
      </c>
      <c r="D7" t="s">
        <v>121</v>
      </c>
    </row>
    <row r="8" spans="1:20" ht="12.75" customHeight="1">
      <c r="A8" t="s">
        <v>122</v>
      </c>
      <c r="B8" t="s">
        <v>123</v>
      </c>
      <c r="D8" t="s">
        <v>124</v>
      </c>
    </row>
    <row r="9" spans="1:20" ht="12.75" customHeight="1">
      <c r="A9" t="s">
        <v>125</v>
      </c>
      <c r="B9" t="s">
        <v>126</v>
      </c>
      <c r="D9" t="s">
        <v>127</v>
      </c>
      <c r="F9" s="41">
        <f>1/0.716502*37.1</f>
        <v>51.779339066743717</v>
      </c>
    </row>
    <row r="10" spans="1:20" ht="12.75" customHeight="1">
      <c r="A10" t="s">
        <v>125</v>
      </c>
      <c r="B10" t="s">
        <v>128</v>
      </c>
      <c r="E10" t="s">
        <v>129</v>
      </c>
      <c r="F10">
        <f>1*32</f>
        <v>32</v>
      </c>
      <c r="G10" s="41">
        <f>AVERAGE(F9:F10)</f>
        <v>41.889669533371858</v>
      </c>
    </row>
    <row r="11" spans="1:20" ht="12.75" customHeight="1">
      <c r="A11" t="s">
        <v>130</v>
      </c>
      <c r="B11" t="s">
        <v>128</v>
      </c>
      <c r="E11" t="s">
        <v>131</v>
      </c>
    </row>
    <row r="12" spans="1:20" ht="12.75" customHeight="1">
      <c r="A12" t="s">
        <v>132</v>
      </c>
      <c r="E12" t="s">
        <v>129</v>
      </c>
    </row>
    <row r="13" spans="1:20" ht="12.75" customHeight="1">
      <c r="A13" t="s">
        <v>133</v>
      </c>
      <c r="B13" t="s">
        <v>134</v>
      </c>
      <c r="E13" t="s">
        <v>135</v>
      </c>
    </row>
    <row r="16" spans="1:20" ht="12.75" customHeight="1">
      <c r="A16" s="3" t="s">
        <v>136</v>
      </c>
    </row>
    <row r="17" spans="1:2" ht="12.75" customHeight="1">
      <c r="A17" t="s">
        <v>137</v>
      </c>
      <c r="B17" t="s">
        <v>138</v>
      </c>
    </row>
    <row r="18" spans="1:2" ht="12.75" customHeight="1">
      <c r="A18" t="s">
        <v>139</v>
      </c>
      <c r="B18" t="s">
        <v>140</v>
      </c>
    </row>
    <row r="22" spans="1:2" ht="12.75" customHeight="1">
      <c r="A22" s="3" t="s">
        <v>141</v>
      </c>
    </row>
    <row r="23" spans="1:2" ht="12.75" customHeight="1">
      <c r="A23" t="s">
        <v>142</v>
      </c>
    </row>
    <row r="26" spans="1:2" ht="12.75" customHeight="1">
      <c r="A26" s="2" t="s">
        <v>143</v>
      </c>
    </row>
    <row r="27" spans="1:2" ht="12.75" customHeight="1">
      <c r="A27" t="s">
        <v>144</v>
      </c>
    </row>
    <row r="28" spans="1:2" ht="12.75" customHeight="1">
      <c r="A28" t="s">
        <v>145</v>
      </c>
    </row>
    <row r="29" spans="1:2" ht="12.75" customHeight="1">
      <c r="A29" t="s">
        <v>146</v>
      </c>
    </row>
    <row r="30" spans="1:2" ht="12.75" customHeight="1">
      <c r="A30" t="s">
        <v>147</v>
      </c>
    </row>
    <row r="31" spans="1:2" ht="12.75" customHeight="1">
      <c r="A31" t="s">
        <v>148</v>
      </c>
    </row>
    <row r="32" spans="1:2" ht="12.75" customHeight="1">
      <c r="A32" t="s">
        <v>149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zoomScale="125" zoomScaleNormal="125" zoomScalePageLayoutView="125" workbookViewId="0">
      <selection activeCell="E8" sqref="E8"/>
    </sheetView>
  </sheetViews>
  <sheetFormatPr baseColWidth="10" defaultRowHeight="11" x14ac:dyDescent="0"/>
  <cols>
    <col min="1" max="1" width="12.1640625" style="52" bestFit="1" customWidth="1"/>
    <col min="2" max="2" width="11.33203125" style="54" bestFit="1" customWidth="1"/>
    <col min="3" max="3" width="5" style="56" bestFit="1" customWidth="1"/>
    <col min="4" max="4" width="11.33203125" style="54" bestFit="1" customWidth="1"/>
    <col min="5" max="5" width="7.6640625" style="56" bestFit="1" customWidth="1"/>
    <col min="6" max="6" width="11.33203125" style="54" bestFit="1" customWidth="1"/>
    <col min="7" max="16384" width="10.83203125" style="52"/>
  </cols>
  <sheetData>
    <row r="1" spans="1:6">
      <c r="A1" s="52" t="s">
        <v>249</v>
      </c>
    </row>
    <row r="3" spans="1:6" ht="15">
      <c r="A3" s="60" t="s">
        <v>255</v>
      </c>
      <c r="B3" s="57" t="s">
        <v>250</v>
      </c>
      <c r="C3" s="59" t="s">
        <v>254</v>
      </c>
      <c r="D3" s="57" t="s">
        <v>251</v>
      </c>
      <c r="E3" s="59" t="s">
        <v>254</v>
      </c>
      <c r="F3" s="57" t="s">
        <v>253</v>
      </c>
    </row>
    <row r="4" spans="1:6">
      <c r="A4" s="52" t="s">
        <v>256</v>
      </c>
      <c r="B4" s="55">
        <f>AVERAGE(8,9,10,11,12)</f>
        <v>10</v>
      </c>
      <c r="C4" s="56">
        <f>(D4-$B$4)/$B$4</f>
        <v>1.2</v>
      </c>
      <c r="D4" s="55">
        <v>22</v>
      </c>
      <c r="E4" s="58" t="s">
        <v>252</v>
      </c>
      <c r="F4" s="58" t="s">
        <v>252</v>
      </c>
    </row>
    <row r="5" spans="1:6">
      <c r="A5" s="52" t="s">
        <v>257</v>
      </c>
      <c r="B5" s="53" t="s">
        <v>252</v>
      </c>
      <c r="C5" s="56">
        <f t="shared" ref="C5:C7" si="0">(D5-$B$4)/$B$4</f>
        <v>1.25</v>
      </c>
      <c r="D5" s="55">
        <f>'Sale Prices'!G19</f>
        <v>22.5</v>
      </c>
      <c r="E5" s="56">
        <f t="shared" ref="E5:E7" si="1">(F5-D5)/D5</f>
        <v>0.85278165194483191</v>
      </c>
      <c r="F5" s="55">
        <f>'Sale Prices'!G17</f>
        <v>41.687587168758718</v>
      </c>
    </row>
    <row r="6" spans="1:6">
      <c r="A6" s="52" t="s">
        <v>258</v>
      </c>
      <c r="B6" s="53" t="s">
        <v>252</v>
      </c>
      <c r="C6" s="56">
        <f t="shared" si="0"/>
        <v>3.85</v>
      </c>
      <c r="D6" s="55">
        <f>'Sale Prices'!G9</f>
        <v>48.5</v>
      </c>
      <c r="E6" s="56">
        <f t="shared" si="1"/>
        <v>0.55051546391752582</v>
      </c>
      <c r="F6" s="55">
        <f>'Sale Prices'!G4</f>
        <v>75.2</v>
      </c>
    </row>
    <row r="7" spans="1:6">
      <c r="A7" s="52" t="s">
        <v>225</v>
      </c>
      <c r="B7" s="53" t="s">
        <v>252</v>
      </c>
      <c r="C7" s="56">
        <f t="shared" si="0"/>
        <v>2.0300000000000002</v>
      </c>
      <c r="D7" s="55">
        <v>30.3</v>
      </c>
      <c r="E7" s="56">
        <f t="shared" si="1"/>
        <v>1.3336633663366335</v>
      </c>
      <c r="F7" s="55">
        <v>70.709999999999994</v>
      </c>
    </row>
    <row r="9" spans="1:6">
      <c r="D9" s="55"/>
      <c r="F9" s="55"/>
    </row>
    <row r="10" spans="1:6">
      <c r="D10" s="55">
        <f>AVERAGE(D4:D7)</f>
        <v>30.824999999999999</v>
      </c>
      <c r="F10" s="55">
        <f>AVERAGE(F5:F7)</f>
        <v>62.532529056252905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zoomScale="125" zoomScaleNormal="125" zoomScalePageLayoutView="125" workbookViewId="0">
      <selection activeCell="A15" sqref="A15"/>
    </sheetView>
  </sheetViews>
  <sheetFormatPr baseColWidth="10" defaultRowHeight="11" x14ac:dyDescent="0"/>
  <cols>
    <col min="1" max="16384" width="10.83203125" style="52"/>
  </cols>
  <sheetData>
    <row r="1" spans="1:4">
      <c r="A1" s="94" t="s">
        <v>295</v>
      </c>
    </row>
    <row r="2" spans="1:4">
      <c r="A2" s="7" t="s">
        <v>279</v>
      </c>
    </row>
    <row r="3" spans="1:4">
      <c r="A3" s="4" t="s">
        <v>156</v>
      </c>
    </row>
    <row r="4" spans="1:4">
      <c r="A4" s="6" t="s">
        <v>297</v>
      </c>
    </row>
    <row r="5" spans="1:4">
      <c r="A5" s="95" t="s">
        <v>296</v>
      </c>
    </row>
    <row r="6" spans="1:4">
      <c r="A6" s="6" t="s">
        <v>298</v>
      </c>
      <c r="D6" s="4"/>
    </row>
    <row r="7" spans="1:4">
      <c r="A7" s="6" t="s">
        <v>299</v>
      </c>
    </row>
    <row r="8" spans="1:4">
      <c r="A8" s="6" t="s">
        <v>300</v>
      </c>
    </row>
    <row r="9" spans="1:4">
      <c r="A9" s="6" t="s">
        <v>304</v>
      </c>
    </row>
    <row r="14" spans="1:4">
      <c r="A14" s="94" t="s">
        <v>189</v>
      </c>
    </row>
    <row r="15" spans="1:4">
      <c r="A15" s="6" t="s">
        <v>315</v>
      </c>
    </row>
    <row r="16" spans="1:4">
      <c r="A16" s="6" t="s">
        <v>301</v>
      </c>
    </row>
    <row r="17" spans="1:1">
      <c r="A17" s="6" t="s">
        <v>302</v>
      </c>
    </row>
    <row r="18" spans="1:1">
      <c r="A18" s="6" t="s">
        <v>303</v>
      </c>
    </row>
    <row r="19" spans="1:1">
      <c r="A19" s="182" t="s">
        <v>314</v>
      </c>
    </row>
    <row r="20" spans="1:1">
      <c r="A20" s="182" t="s">
        <v>316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3"/>
  <sheetViews>
    <sheetView showGridLines="0" zoomScale="125" zoomScaleNormal="125" zoomScalePageLayoutView="125" workbookViewId="0">
      <selection activeCell="A3" sqref="A3:A18"/>
    </sheetView>
  </sheetViews>
  <sheetFormatPr baseColWidth="10" defaultRowHeight="11" x14ac:dyDescent="0"/>
  <cols>
    <col min="1" max="1" width="24.1640625" style="4" bestFit="1" customWidth="1"/>
    <col min="2" max="2" width="10.33203125" style="4" customWidth="1"/>
    <col min="3" max="3" width="18.6640625" style="4" bestFit="1" customWidth="1"/>
    <col min="4" max="16384" width="10.83203125" style="4"/>
  </cols>
  <sheetData>
    <row r="1" spans="1:4" s="5" customFormat="1">
      <c r="A1" s="5" t="s">
        <v>150</v>
      </c>
      <c r="C1" s="5" t="s">
        <v>151</v>
      </c>
    </row>
    <row r="2" spans="1:4" s="5" customFormat="1">
      <c r="A2" s="163" t="s">
        <v>190</v>
      </c>
      <c r="B2" s="163"/>
      <c r="C2" s="163"/>
    </row>
    <row r="3" spans="1:4">
      <c r="A3" s="7" t="s">
        <v>155</v>
      </c>
      <c r="B3" s="7"/>
      <c r="C3" s="4" t="s">
        <v>168</v>
      </c>
    </row>
    <row r="4" spans="1:4">
      <c r="A4" s="4" t="s">
        <v>152</v>
      </c>
      <c r="C4" s="4" t="s">
        <v>169</v>
      </c>
    </row>
    <row r="5" spans="1:4">
      <c r="A5" s="4" t="s">
        <v>153</v>
      </c>
      <c r="C5" s="4" t="s">
        <v>170</v>
      </c>
    </row>
    <row r="6" spans="1:4">
      <c r="A6" s="4" t="s">
        <v>154</v>
      </c>
      <c r="C6" s="4" t="s">
        <v>171</v>
      </c>
    </row>
    <row r="7" spans="1:4">
      <c r="A7" s="4" t="s">
        <v>167</v>
      </c>
      <c r="C7" s="4" t="s">
        <v>172</v>
      </c>
      <c r="D7" s="4" t="s">
        <v>192</v>
      </c>
    </row>
    <row r="8" spans="1:4">
      <c r="A8" s="4" t="s">
        <v>156</v>
      </c>
      <c r="C8" s="4" t="s">
        <v>173</v>
      </c>
    </row>
    <row r="9" spans="1:4">
      <c r="A9" s="6" t="s">
        <v>157</v>
      </c>
      <c r="C9" s="4" t="s">
        <v>174</v>
      </c>
    </row>
    <row r="10" spans="1:4">
      <c r="A10" s="6" t="s">
        <v>158</v>
      </c>
    </row>
    <row r="11" spans="1:4">
      <c r="A11" s="6" t="s">
        <v>159</v>
      </c>
    </row>
    <row r="12" spans="1:4">
      <c r="A12" s="6" t="s">
        <v>160</v>
      </c>
    </row>
    <row r="13" spans="1:4">
      <c r="A13" s="6" t="s">
        <v>161</v>
      </c>
    </row>
    <row r="14" spans="1:4">
      <c r="A14" s="6" t="s">
        <v>162</v>
      </c>
    </row>
    <row r="15" spans="1:4">
      <c r="A15" s="6" t="s">
        <v>163</v>
      </c>
    </row>
    <row r="16" spans="1:4">
      <c r="A16" s="6" t="s">
        <v>164</v>
      </c>
    </row>
    <row r="17" spans="1:3">
      <c r="A17" s="6" t="s">
        <v>165</v>
      </c>
    </row>
    <row r="18" spans="1:3">
      <c r="A18" s="6" t="s">
        <v>166</v>
      </c>
    </row>
    <row r="19" spans="1:3">
      <c r="A19" s="6"/>
    </row>
    <row r="20" spans="1:3">
      <c r="A20" s="8" t="s">
        <v>198</v>
      </c>
    </row>
    <row r="21" spans="1:3">
      <c r="A21" s="4" t="s">
        <v>197</v>
      </c>
    </row>
    <row r="22" spans="1:3">
      <c r="A22" s="4" t="s">
        <v>88</v>
      </c>
    </row>
    <row r="23" spans="1:3">
      <c r="A23" s="4" t="s">
        <v>84</v>
      </c>
    </row>
    <row r="24" spans="1:3">
      <c r="A24" s="4" t="s">
        <v>85</v>
      </c>
    </row>
    <row r="25" spans="1:3">
      <c r="A25" s="4" t="s">
        <v>89</v>
      </c>
    </row>
    <row r="26" spans="1:3">
      <c r="A26" s="4" t="s">
        <v>90</v>
      </c>
    </row>
    <row r="27" spans="1:3">
      <c r="A27" s="4" t="s">
        <v>91</v>
      </c>
    </row>
    <row r="28" spans="1:3">
      <c r="A28" s="4" t="s">
        <v>92</v>
      </c>
    </row>
    <row r="29" spans="1:3">
      <c r="A29" s="6"/>
    </row>
    <row r="30" spans="1:3">
      <c r="A30" s="6"/>
    </row>
    <row r="32" spans="1:3">
      <c r="A32" s="164" t="s">
        <v>189</v>
      </c>
      <c r="B32" s="164"/>
      <c r="C32" s="164"/>
    </row>
    <row r="33" spans="1:3">
      <c r="A33" s="4" t="s">
        <v>175</v>
      </c>
      <c r="C33" s="4" t="s">
        <v>171</v>
      </c>
    </row>
    <row r="34" spans="1:3">
      <c r="A34" s="4" t="s">
        <v>176</v>
      </c>
      <c r="C34" s="4" t="s">
        <v>185</v>
      </c>
    </row>
    <row r="35" spans="1:3">
      <c r="A35" s="4" t="s">
        <v>177</v>
      </c>
      <c r="C35" s="4" t="s">
        <v>187</v>
      </c>
    </row>
    <row r="36" spans="1:3">
      <c r="A36" s="4" t="s">
        <v>178</v>
      </c>
      <c r="C36" s="4" t="s">
        <v>188</v>
      </c>
    </row>
    <row r="37" spans="1:3">
      <c r="A37" s="4" t="s">
        <v>179</v>
      </c>
      <c r="C37" s="4" t="s">
        <v>181</v>
      </c>
    </row>
    <row r="38" spans="1:3">
      <c r="A38" s="4" t="s">
        <v>180</v>
      </c>
      <c r="C38" s="4" t="s">
        <v>191</v>
      </c>
    </row>
    <row r="39" spans="1:3">
      <c r="A39" s="4" t="s">
        <v>182</v>
      </c>
    </row>
    <row r="40" spans="1:3">
      <c r="A40" s="4" t="s">
        <v>183</v>
      </c>
    </row>
    <row r="41" spans="1:3">
      <c r="A41" s="4" t="s">
        <v>184</v>
      </c>
    </row>
    <row r="42" spans="1:3">
      <c r="A42" s="4" t="s">
        <v>185</v>
      </c>
    </row>
    <row r="43" spans="1:3">
      <c r="A43" s="4" t="s">
        <v>186</v>
      </c>
    </row>
    <row r="46" spans="1:3">
      <c r="A46" s="8" t="s">
        <v>198</v>
      </c>
    </row>
    <row r="47" spans="1:3">
      <c r="A47" s="4" t="s">
        <v>197</v>
      </c>
    </row>
    <row r="48" spans="1:3">
      <c r="A48" s="4" t="s">
        <v>72</v>
      </c>
    </row>
    <row r="49" spans="1:1">
      <c r="A49" s="4" t="s">
        <v>87</v>
      </c>
    </row>
    <row r="50" spans="1:1">
      <c r="A50" s="4" t="s">
        <v>84</v>
      </c>
    </row>
    <row r="51" spans="1:1">
      <c r="A51" s="4" t="s">
        <v>185</v>
      </c>
    </row>
    <row r="52" spans="1:1">
      <c r="A52" s="4" t="s">
        <v>85</v>
      </c>
    </row>
    <row r="53" spans="1:1">
      <c r="A53" s="4" t="s">
        <v>86</v>
      </c>
    </row>
  </sheetData>
  <mergeCells count="2">
    <mergeCell ref="A2:C2"/>
    <mergeCell ref="A32:C32"/>
  </mergeCells>
  <phoneticPr fontId="14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GridLines="0" zoomScale="125" zoomScaleNormal="125" zoomScalePageLayoutView="125" workbookViewId="0">
      <selection activeCell="E14" sqref="E14"/>
    </sheetView>
  </sheetViews>
  <sheetFormatPr baseColWidth="10" defaultRowHeight="11" x14ac:dyDescent="0"/>
  <cols>
    <col min="1" max="1" width="20.5" style="4" customWidth="1"/>
    <col min="2" max="16384" width="10.83203125" style="4"/>
  </cols>
  <sheetData>
    <row r="1" spans="1:2">
      <c r="A1" s="4" t="s">
        <v>193</v>
      </c>
    </row>
    <row r="2" spans="1:2">
      <c r="A2" s="4" t="s">
        <v>194</v>
      </c>
    </row>
    <row r="3" spans="1:2">
      <c r="A3" s="4" t="s">
        <v>195</v>
      </c>
    </row>
    <row r="4" spans="1:2">
      <c r="A4" s="4" t="s">
        <v>196</v>
      </c>
    </row>
    <row r="7" spans="1:2">
      <c r="A7" s="8" t="s">
        <v>78</v>
      </c>
    </row>
    <row r="8" spans="1:2">
      <c r="A8" s="4" t="s">
        <v>73</v>
      </c>
      <c r="B8" s="4" t="s">
        <v>116</v>
      </c>
    </row>
    <row r="9" spans="1:2">
      <c r="A9" s="4" t="s">
        <v>74</v>
      </c>
      <c r="B9" s="4" t="s">
        <v>120</v>
      </c>
    </row>
    <row r="10" spans="1:2">
      <c r="A10" s="4" t="s">
        <v>75</v>
      </c>
      <c r="B10" s="4" t="s">
        <v>117</v>
      </c>
    </row>
    <row r="11" spans="1:2">
      <c r="A11" s="4" t="s">
        <v>76</v>
      </c>
      <c r="B11" s="4" t="s">
        <v>77</v>
      </c>
    </row>
    <row r="13" spans="1:2">
      <c r="A13" s="8" t="s">
        <v>79</v>
      </c>
    </row>
    <row r="14" spans="1:2">
      <c r="A14" s="4" t="s">
        <v>80</v>
      </c>
    </row>
    <row r="15" spans="1:2">
      <c r="A15" s="4" t="s">
        <v>81</v>
      </c>
    </row>
    <row r="16" spans="1:2">
      <c r="A16" s="4" t="s">
        <v>82</v>
      </c>
    </row>
    <row r="19" spans="1:1">
      <c r="A19" s="4" t="s">
        <v>83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zoomScale="125" zoomScaleNormal="125" zoomScalePageLayoutView="125" workbookViewId="0">
      <selection activeCell="G34" sqref="G34"/>
    </sheetView>
  </sheetViews>
  <sheetFormatPr baseColWidth="10" defaultRowHeight="11" x14ac:dyDescent="0"/>
  <cols>
    <col min="1" max="16384" width="10.83203125" style="4"/>
  </cols>
  <sheetData>
    <row r="1" spans="1:1">
      <c r="A1" s="4" t="s">
        <v>93</v>
      </c>
    </row>
    <row r="3" spans="1:1">
      <c r="A3" s="4" t="s">
        <v>94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20" workbookViewId="0">
      <selection activeCell="D30" sqref="D30"/>
    </sheetView>
  </sheetViews>
  <sheetFormatPr baseColWidth="10" defaultRowHeight="12" x14ac:dyDescent="0"/>
  <cols>
    <col min="1" max="1" width="29.83203125" style="1" customWidth="1"/>
    <col min="2" max="2" width="39.5" style="1" customWidth="1"/>
    <col min="3" max="3" width="36.1640625" style="1" customWidth="1"/>
    <col min="4" max="16384" width="10.83203125" style="1"/>
  </cols>
  <sheetData>
    <row r="1" spans="1:4">
      <c r="A1" s="9" t="s">
        <v>150</v>
      </c>
      <c r="B1" s="9" t="s">
        <v>17</v>
      </c>
      <c r="C1" s="1" t="s">
        <v>10</v>
      </c>
      <c r="D1" s="1" t="s">
        <v>18</v>
      </c>
    </row>
    <row r="2" spans="1:4">
      <c r="A2" s="10" t="s">
        <v>155</v>
      </c>
      <c r="B2" s="10"/>
      <c r="C2" s="1" t="s">
        <v>7</v>
      </c>
    </row>
    <row r="3" spans="1:4">
      <c r="A3" s="11" t="s">
        <v>152</v>
      </c>
      <c r="B3" s="11"/>
    </row>
    <row r="4" spans="1:4">
      <c r="A4" s="11" t="s">
        <v>153</v>
      </c>
      <c r="B4" s="11"/>
    </row>
    <row r="5" spans="1:4">
      <c r="A5" s="11" t="s">
        <v>154</v>
      </c>
      <c r="B5" s="11"/>
    </row>
    <row r="6" spans="1:4">
      <c r="A6" s="11" t="s">
        <v>167</v>
      </c>
      <c r="B6" s="11"/>
    </row>
    <row r="7" spans="1:4">
      <c r="A7" s="11" t="s">
        <v>156</v>
      </c>
      <c r="B7" s="11"/>
    </row>
    <row r="8" spans="1:4">
      <c r="A8" s="12" t="s">
        <v>157</v>
      </c>
      <c r="B8" s="11"/>
    </row>
    <row r="9" spans="1:4">
      <c r="A9" s="12" t="s">
        <v>158</v>
      </c>
      <c r="B9" s="11"/>
      <c r="C9" s="11"/>
    </row>
    <row r="10" spans="1:4">
      <c r="A10" s="12" t="s">
        <v>159</v>
      </c>
      <c r="B10" s="11"/>
      <c r="C10" s="11"/>
    </row>
    <row r="11" spans="1:4">
      <c r="A11" s="12" t="s">
        <v>160</v>
      </c>
      <c r="B11" s="11"/>
      <c r="C11" s="17"/>
    </row>
    <row r="12" spans="1:4">
      <c r="A12" s="13" t="s">
        <v>45</v>
      </c>
      <c r="B12" s="11"/>
      <c r="C12" s="11"/>
    </row>
    <row r="13" spans="1:4">
      <c r="A13" s="13" t="s">
        <v>46</v>
      </c>
      <c r="B13" s="14" t="s">
        <v>47</v>
      </c>
      <c r="C13" s="14" t="s">
        <v>48</v>
      </c>
    </row>
    <row r="14" spans="1:4">
      <c r="A14" s="12" t="s">
        <v>162</v>
      </c>
      <c r="B14" s="11"/>
      <c r="C14" s="14" t="s">
        <v>55</v>
      </c>
    </row>
    <row r="15" spans="1:4">
      <c r="A15" s="12" t="s">
        <v>163</v>
      </c>
      <c r="B15" s="11"/>
      <c r="C15" s="11"/>
    </row>
    <row r="16" spans="1:4">
      <c r="A16" s="12" t="s">
        <v>164</v>
      </c>
      <c r="B16" s="11"/>
      <c r="C16" s="11"/>
    </row>
    <row r="17" spans="1:5">
      <c r="A17" s="13" t="s">
        <v>62</v>
      </c>
      <c r="B17" s="11"/>
      <c r="C17" s="11"/>
    </row>
    <row r="18" spans="1:5">
      <c r="A18" s="13" t="s">
        <v>63</v>
      </c>
      <c r="B18" s="14" t="s">
        <v>64</v>
      </c>
      <c r="C18" s="14" t="s">
        <v>65</v>
      </c>
    </row>
    <row r="19" spans="1:5">
      <c r="A19" s="12" t="s">
        <v>166</v>
      </c>
      <c r="B19" s="11"/>
      <c r="C19" s="11"/>
    </row>
    <row r="20" spans="1:5">
      <c r="A20" s="12"/>
      <c r="B20" s="11"/>
      <c r="C20" s="11"/>
    </row>
    <row r="21" spans="1:5">
      <c r="A21" s="9" t="s">
        <v>151</v>
      </c>
      <c r="B21" s="11"/>
      <c r="C21" s="11"/>
    </row>
    <row r="22" spans="1:5">
      <c r="A22" s="11" t="s">
        <v>168</v>
      </c>
      <c r="B22" s="14" t="s">
        <v>34</v>
      </c>
      <c r="C22" s="14" t="s">
        <v>35</v>
      </c>
    </row>
    <row r="23" spans="1:5">
      <c r="A23" s="11"/>
      <c r="B23" s="14" t="s">
        <v>36</v>
      </c>
      <c r="C23" s="14" t="s">
        <v>37</v>
      </c>
    </row>
    <row r="24" spans="1:5">
      <c r="A24" s="11"/>
      <c r="B24" s="14"/>
      <c r="C24" s="14" t="s">
        <v>5</v>
      </c>
    </row>
    <row r="25" spans="1:5">
      <c r="A25" s="11" t="s">
        <v>169</v>
      </c>
      <c r="B25" s="11">
        <v>0</v>
      </c>
      <c r="C25" s="11"/>
    </row>
    <row r="26" spans="1:5">
      <c r="A26" s="11" t="s">
        <v>170</v>
      </c>
      <c r="B26" s="14" t="s">
        <v>96</v>
      </c>
      <c r="C26" s="14" t="s">
        <v>41</v>
      </c>
    </row>
    <row r="27" spans="1:5">
      <c r="A27" s="11"/>
      <c r="B27" s="14" t="s">
        <v>31</v>
      </c>
      <c r="C27" s="14" t="s">
        <v>6</v>
      </c>
    </row>
    <row r="28" spans="1:5">
      <c r="A28" s="11" t="s">
        <v>171</v>
      </c>
      <c r="B28" s="11"/>
      <c r="C28" s="11"/>
    </row>
    <row r="29" spans="1:5">
      <c r="A29" s="11" t="s">
        <v>172</v>
      </c>
      <c r="B29" s="11"/>
      <c r="C29" s="11"/>
      <c r="D29" s="1">
        <f>20*1*2+250</f>
        <v>290</v>
      </c>
      <c r="E29" s="1">
        <f>25*3*2+250</f>
        <v>400</v>
      </c>
    </row>
    <row r="30" spans="1:5">
      <c r="A30" s="11" t="s">
        <v>173</v>
      </c>
      <c r="B30" s="11"/>
      <c r="C30" s="11"/>
    </row>
    <row r="31" spans="1:5">
      <c r="A31" s="11" t="s">
        <v>174</v>
      </c>
      <c r="B31" s="11"/>
      <c r="C31" s="11"/>
    </row>
    <row r="32" spans="1:5">
      <c r="A32" s="12"/>
      <c r="B32" s="11"/>
      <c r="C32" s="11"/>
    </row>
    <row r="33" spans="1:6">
      <c r="A33" s="9" t="s">
        <v>56</v>
      </c>
      <c r="B33" s="11"/>
      <c r="C33" s="11"/>
    </row>
    <row r="34" spans="1:6">
      <c r="A34" s="14" t="s">
        <v>57</v>
      </c>
      <c r="B34" s="14" t="s">
        <v>58</v>
      </c>
      <c r="C34" s="11"/>
      <c r="F34" s="1">
        <f>110/1000+0.6/110</f>
        <v>0.11545454545454545</v>
      </c>
    </row>
    <row r="35" spans="1:6">
      <c r="A35" s="1" t="s">
        <v>59</v>
      </c>
      <c r="B35" s="14" t="s">
        <v>60</v>
      </c>
      <c r="C35" s="11"/>
    </row>
    <row r="36" spans="1:6">
      <c r="A36" s="1" t="s">
        <v>68</v>
      </c>
      <c r="B36" s="14" t="s">
        <v>69</v>
      </c>
      <c r="C36" s="14" t="s">
        <v>70</v>
      </c>
    </row>
    <row r="37" spans="1:6">
      <c r="A37" s="1" t="s">
        <v>71</v>
      </c>
      <c r="B37" s="14" t="s">
        <v>32</v>
      </c>
      <c r="C37" s="14" t="s">
        <v>33</v>
      </c>
    </row>
    <row r="38" spans="1:6">
      <c r="A38" s="1" t="s">
        <v>38</v>
      </c>
      <c r="B38" s="14" t="s">
        <v>39</v>
      </c>
      <c r="C38" s="14" t="s">
        <v>40</v>
      </c>
    </row>
    <row r="39" spans="1:6">
      <c r="B39" s="14" t="s">
        <v>15</v>
      </c>
      <c r="C39" s="14" t="s">
        <v>16</v>
      </c>
    </row>
    <row r="40" spans="1:6">
      <c r="B40" s="14" t="s">
        <v>8</v>
      </c>
      <c r="C40" s="14" t="s">
        <v>9</v>
      </c>
    </row>
    <row r="41" spans="1:6">
      <c r="B41" s="14" t="s">
        <v>11</v>
      </c>
      <c r="C41" s="14" t="s">
        <v>12</v>
      </c>
    </row>
    <row r="42" spans="1:6">
      <c r="B42" s="14" t="s">
        <v>13</v>
      </c>
      <c r="C42" s="14" t="s">
        <v>14</v>
      </c>
    </row>
    <row r="43" spans="1:6">
      <c r="A43" s="12"/>
      <c r="B43" s="14" t="s">
        <v>13</v>
      </c>
      <c r="C43" s="14" t="s">
        <v>0</v>
      </c>
    </row>
    <row r="44" spans="1:6">
      <c r="A44" s="15" t="s">
        <v>198</v>
      </c>
      <c r="B44" s="11"/>
      <c r="C44" s="11"/>
    </row>
    <row r="45" spans="1:6">
      <c r="A45" s="11" t="s">
        <v>197</v>
      </c>
      <c r="B45" s="11"/>
      <c r="C45" s="11"/>
    </row>
    <row r="46" spans="1:6">
      <c r="A46" s="11" t="s">
        <v>88</v>
      </c>
      <c r="B46" s="14" t="s">
        <v>53</v>
      </c>
      <c r="C46" s="14" t="s">
        <v>52</v>
      </c>
    </row>
    <row r="47" spans="1:6">
      <c r="A47" s="11"/>
      <c r="B47" s="14" t="s">
        <v>54</v>
      </c>
      <c r="C47" s="14"/>
    </row>
    <row r="48" spans="1:6">
      <c r="A48" s="11" t="s">
        <v>84</v>
      </c>
      <c r="B48" s="11"/>
      <c r="C48" s="11"/>
    </row>
    <row r="49" spans="1:3">
      <c r="A49" s="11" t="s">
        <v>85</v>
      </c>
      <c r="B49" s="11"/>
      <c r="C49" s="11"/>
    </row>
    <row r="50" spans="1:3">
      <c r="A50" s="11" t="s">
        <v>89</v>
      </c>
      <c r="B50" s="16">
        <v>0.8</v>
      </c>
      <c r="C50" s="14" t="s">
        <v>99</v>
      </c>
    </row>
    <row r="51" spans="1:3">
      <c r="A51" s="11" t="s">
        <v>90</v>
      </c>
      <c r="B51" s="14" t="s">
        <v>97</v>
      </c>
      <c r="C51" s="14" t="s">
        <v>98</v>
      </c>
    </row>
    <row r="52" spans="1:3">
      <c r="A52" s="11" t="s">
        <v>91</v>
      </c>
      <c r="B52" s="14" t="s">
        <v>50</v>
      </c>
      <c r="C52" s="14" t="s">
        <v>61</v>
      </c>
    </row>
    <row r="53" spans="1:3">
      <c r="A53" s="11"/>
      <c r="B53" s="14" t="s">
        <v>1</v>
      </c>
      <c r="C53" s="14" t="s">
        <v>2</v>
      </c>
    </row>
    <row r="54" spans="1:3">
      <c r="A54" s="11" t="s">
        <v>92</v>
      </c>
      <c r="B54" s="11"/>
      <c r="C54" s="11"/>
    </row>
    <row r="56" spans="1:3">
      <c r="A56" s="9" t="s">
        <v>95</v>
      </c>
    </row>
    <row r="57" spans="1:3">
      <c r="A57" s="11" t="s">
        <v>27</v>
      </c>
      <c r="C57" s="1" t="s">
        <v>42</v>
      </c>
    </row>
    <row r="58" spans="1:3">
      <c r="A58" s="14" t="s">
        <v>28</v>
      </c>
      <c r="C58" s="1" t="s">
        <v>100</v>
      </c>
    </row>
    <row r="59" spans="1:3">
      <c r="A59" s="1" t="s">
        <v>26</v>
      </c>
      <c r="C59" s="1" t="s">
        <v>101</v>
      </c>
    </row>
    <row r="60" spans="1:3">
      <c r="A60" s="1" t="s">
        <v>25</v>
      </c>
      <c r="C60" s="1" t="s">
        <v>102</v>
      </c>
    </row>
    <row r="61" spans="1:3">
      <c r="A61" s="1" t="s">
        <v>24</v>
      </c>
      <c r="C61" s="1" t="s">
        <v>49</v>
      </c>
    </row>
    <row r="62" spans="1:3">
      <c r="A62" s="1" t="s">
        <v>26</v>
      </c>
      <c r="C62" s="1" t="s">
        <v>51</v>
      </c>
    </row>
    <row r="63" spans="1:3">
      <c r="A63" s="1" t="s">
        <v>23</v>
      </c>
      <c r="C63" s="1" t="s">
        <v>66</v>
      </c>
    </row>
    <row r="64" spans="1:3">
      <c r="A64" s="1" t="s">
        <v>22</v>
      </c>
      <c r="C64" s="1" t="s">
        <v>67</v>
      </c>
    </row>
    <row r="65" spans="1:3">
      <c r="A65" s="1" t="s">
        <v>21</v>
      </c>
      <c r="C65" s="1" t="s">
        <v>43</v>
      </c>
    </row>
    <row r="66" spans="1:3">
      <c r="A66" s="1" t="s">
        <v>19</v>
      </c>
      <c r="C66" s="1" t="s">
        <v>44</v>
      </c>
    </row>
    <row r="67" spans="1:3">
      <c r="A67" s="1" t="s">
        <v>38</v>
      </c>
      <c r="C67" s="1" t="s">
        <v>20</v>
      </c>
    </row>
    <row r="68" spans="1:3">
      <c r="A68" s="1" t="s">
        <v>29</v>
      </c>
      <c r="C68" s="1" t="s">
        <v>30</v>
      </c>
    </row>
    <row r="69" spans="1:3">
      <c r="A69" s="1" t="s">
        <v>3</v>
      </c>
      <c r="C69" s="1" t="s">
        <v>4</v>
      </c>
    </row>
  </sheetData>
  <phoneticPr fontId="1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zoomScale="125" zoomScaleNormal="125" zoomScalePageLayoutView="125" workbookViewId="0">
      <selection activeCell="G32" sqref="G32"/>
    </sheetView>
  </sheetViews>
  <sheetFormatPr baseColWidth="10" defaultRowHeight="11" x14ac:dyDescent="0"/>
  <cols>
    <col min="1" max="1" width="24.6640625" style="19" customWidth="1"/>
    <col min="2" max="3" width="11.33203125" style="64" bestFit="1" customWidth="1"/>
    <col min="4" max="4" width="9.5" style="87" bestFit="1" customWidth="1"/>
    <col min="5" max="16384" width="10.83203125" style="64"/>
  </cols>
  <sheetData>
    <row r="1" spans="1:11">
      <c r="A1" s="165" t="s">
        <v>199</v>
      </c>
      <c r="B1" s="165"/>
      <c r="C1" s="165"/>
    </row>
    <row r="2" spans="1:11">
      <c r="A2" s="20"/>
      <c r="I2" s="64" t="s">
        <v>276</v>
      </c>
      <c r="J2" s="64" t="s">
        <v>277</v>
      </c>
    </row>
    <row r="3" spans="1:11" s="19" customFormat="1">
      <c r="A3" s="96" t="s">
        <v>232</v>
      </c>
      <c r="B3" s="97" t="s">
        <v>209</v>
      </c>
      <c r="C3" s="89" t="s">
        <v>308</v>
      </c>
      <c r="D3" s="89" t="s">
        <v>210</v>
      </c>
      <c r="J3" s="19">
        <v>441</v>
      </c>
      <c r="K3" s="19">
        <v>10000</v>
      </c>
    </row>
    <row r="4" spans="1:11">
      <c r="A4" s="132" t="s">
        <v>200</v>
      </c>
      <c r="B4" s="141"/>
      <c r="C4" s="142"/>
      <c r="D4" s="142"/>
      <c r="E4" s="87"/>
      <c r="J4" s="64" t="s">
        <v>278</v>
      </c>
      <c r="K4" s="80">
        <f>K3/J3</f>
        <v>22.675736961451246</v>
      </c>
    </row>
    <row r="5" spans="1:11">
      <c r="A5" s="63" t="s">
        <v>294</v>
      </c>
      <c r="B5" s="63">
        <v>800</v>
      </c>
      <c r="C5" s="81">
        <v>1000</v>
      </c>
      <c r="D5" s="81">
        <v>1200</v>
      </c>
      <c r="E5" s="87"/>
    </row>
    <row r="6" spans="1:11">
      <c r="A6" s="63" t="s">
        <v>222</v>
      </c>
      <c r="B6" s="63">
        <v>1.25</v>
      </c>
      <c r="C6" s="81">
        <v>1.5</v>
      </c>
      <c r="D6" s="81">
        <v>2</v>
      </c>
      <c r="E6" s="87"/>
    </row>
    <row r="7" spans="1:11">
      <c r="A7" s="63" t="s">
        <v>223</v>
      </c>
      <c r="B7" s="63">
        <v>1</v>
      </c>
      <c r="C7" s="81">
        <v>1</v>
      </c>
      <c r="D7" s="81">
        <v>1</v>
      </c>
      <c r="E7" s="87"/>
    </row>
    <row r="8" spans="1:11">
      <c r="A8" s="63" t="s">
        <v>215</v>
      </c>
      <c r="B8" s="92">
        <v>0.6</v>
      </c>
      <c r="C8" s="82">
        <v>0.6</v>
      </c>
      <c r="D8" s="82">
        <f>B8</f>
        <v>0.6</v>
      </c>
      <c r="E8" s="87"/>
    </row>
    <row r="9" spans="1:11">
      <c r="A9" s="32" t="s">
        <v>207</v>
      </c>
      <c r="B9" s="93">
        <f>B5*B6*B7*(1-B8)</f>
        <v>400</v>
      </c>
      <c r="C9" s="83">
        <f>C5*C6*C7*(1-C8)</f>
        <v>600</v>
      </c>
      <c r="D9" s="83">
        <f>D5*D6*D7*(1-D8)</f>
        <v>960</v>
      </c>
      <c r="E9" s="87"/>
    </row>
    <row r="10" spans="1:11">
      <c r="A10" s="31"/>
      <c r="B10" s="63"/>
      <c r="C10" s="81"/>
      <c r="D10" s="81"/>
      <c r="E10" s="87"/>
    </row>
    <row r="11" spans="1:11">
      <c r="A11" s="138" t="s">
        <v>202</v>
      </c>
      <c r="B11" s="143"/>
      <c r="C11" s="144"/>
      <c r="D11" s="144"/>
      <c r="E11" s="87"/>
      <c r="H11" s="64" t="s">
        <v>286</v>
      </c>
      <c r="I11" s="64" t="s">
        <v>245</v>
      </c>
    </row>
    <row r="12" spans="1:11">
      <c r="A12" s="84" t="s">
        <v>203</v>
      </c>
      <c r="B12" s="98">
        <f>25*4</f>
        <v>100</v>
      </c>
      <c r="C12" s="85">
        <f>AVERAGE(B12,D12)</f>
        <v>62</v>
      </c>
      <c r="D12" s="85">
        <v>24</v>
      </c>
      <c r="E12" s="87"/>
      <c r="G12" s="64" t="s">
        <v>279</v>
      </c>
      <c r="H12" s="64">
        <v>90</v>
      </c>
      <c r="I12" s="86">
        <f>H12/7.6</f>
        <v>11.842105263157896</v>
      </c>
    </row>
    <row r="13" spans="1:11">
      <c r="A13" s="84" t="s">
        <v>204</v>
      </c>
      <c r="B13" s="98">
        <v>250</v>
      </c>
      <c r="C13" s="85">
        <v>50</v>
      </c>
      <c r="D13" s="85">
        <v>0</v>
      </c>
      <c r="E13" s="87"/>
      <c r="G13" s="64" t="s">
        <v>238</v>
      </c>
      <c r="H13" s="64">
        <v>400</v>
      </c>
      <c r="I13" s="86">
        <f t="shared" ref="I13:I15" si="0">H13/7.6</f>
        <v>52.631578947368425</v>
      </c>
    </row>
    <row r="14" spans="1:11">
      <c r="A14" s="63" t="s">
        <v>208</v>
      </c>
      <c r="B14" s="98">
        <f>1/3*24*2</f>
        <v>16</v>
      </c>
      <c r="C14" s="85"/>
      <c r="D14" s="85"/>
      <c r="E14" s="87"/>
      <c r="G14" s="64" t="s">
        <v>280</v>
      </c>
      <c r="H14" s="64">
        <v>400</v>
      </c>
      <c r="I14" s="86">
        <f t="shared" si="0"/>
        <v>52.631578947368425</v>
      </c>
    </row>
    <row r="15" spans="1:11">
      <c r="A15" s="63"/>
      <c r="B15" s="98"/>
      <c r="C15" s="85"/>
      <c r="D15" s="85"/>
      <c r="E15" s="87"/>
      <c r="G15" s="64" t="s">
        <v>281</v>
      </c>
      <c r="H15" s="64">
        <f>SUM(H12:H14)</f>
        <v>890</v>
      </c>
      <c r="I15" s="86">
        <f t="shared" si="0"/>
        <v>117.10526315789474</v>
      </c>
    </row>
    <row r="16" spans="1:11">
      <c r="A16" s="32" t="s">
        <v>206</v>
      </c>
      <c r="B16" s="93">
        <f>SUM(B12:B15)</f>
        <v>366</v>
      </c>
      <c r="C16" s="83">
        <f>SUM(C12:C15)</f>
        <v>112</v>
      </c>
      <c r="D16" s="83">
        <f>SUM(D12:D15)</f>
        <v>24</v>
      </c>
      <c r="E16" s="87"/>
      <c r="G16" s="64" t="s">
        <v>282</v>
      </c>
      <c r="H16" s="64">
        <v>4</v>
      </c>
    </row>
    <row r="17" spans="1:7">
      <c r="A17" s="63"/>
      <c r="B17" s="98"/>
      <c r="C17" s="85"/>
      <c r="D17" s="85"/>
      <c r="E17" s="87"/>
      <c r="G17" s="64" t="s">
        <v>283</v>
      </c>
    </row>
    <row r="18" spans="1:7" ht="12" thickBot="1">
      <c r="A18" s="135" t="s">
        <v>205</v>
      </c>
      <c r="B18" s="145">
        <f>B9-B16</f>
        <v>34</v>
      </c>
      <c r="C18" s="137">
        <f>C9-C16</f>
        <v>488</v>
      </c>
      <c r="D18" s="137">
        <f>D9-D16</f>
        <v>936</v>
      </c>
      <c r="E18" s="87"/>
      <c r="G18" s="64" t="s">
        <v>284</v>
      </c>
    </row>
    <row r="19" spans="1:7" ht="12" thickTop="1">
      <c r="A19" s="32" t="s">
        <v>270</v>
      </c>
      <c r="B19" s="99">
        <f>B18/B9</f>
        <v>8.5000000000000006E-2</v>
      </c>
      <c r="C19" s="90">
        <f>C18/C9</f>
        <v>0.81333333333333335</v>
      </c>
      <c r="D19" s="90">
        <f>D18/D9</f>
        <v>0.97499999999999998</v>
      </c>
      <c r="E19" s="87"/>
      <c r="G19" s="64" t="s">
        <v>285</v>
      </c>
    </row>
    <row r="20" spans="1:7">
      <c r="A20" s="64"/>
    </row>
    <row r="21" spans="1:7">
      <c r="A21" s="64"/>
    </row>
    <row r="22" spans="1:7">
      <c r="A22" s="64"/>
    </row>
    <row r="23" spans="1:7">
      <c r="A23" s="64"/>
    </row>
    <row r="24" spans="1:7">
      <c r="A24" s="64"/>
      <c r="B24" s="88" t="s">
        <v>292</v>
      </c>
      <c r="C24" s="91" t="s">
        <v>293</v>
      </c>
    </row>
    <row r="25" spans="1:7">
      <c r="A25" s="132" t="s">
        <v>200</v>
      </c>
      <c r="B25" s="141"/>
      <c r="C25" s="142"/>
      <c r="D25" s="64"/>
    </row>
    <row r="26" spans="1:7">
      <c r="A26" s="63" t="s">
        <v>294</v>
      </c>
      <c r="B26" s="63">
        <v>1000</v>
      </c>
      <c r="C26" s="100">
        <v>150</v>
      </c>
      <c r="D26" s="64"/>
    </row>
    <row r="27" spans="1:7">
      <c r="A27" s="63" t="s">
        <v>222</v>
      </c>
      <c r="B27" s="63">
        <v>1.5</v>
      </c>
      <c r="C27" s="81">
        <v>3</v>
      </c>
      <c r="D27" s="64"/>
      <c r="F27" s="64">
        <v>50</v>
      </c>
      <c r="G27" s="64">
        <f>F27/1.5</f>
        <v>33.333333333333336</v>
      </c>
    </row>
    <row r="28" spans="1:7">
      <c r="A28" s="63" t="s">
        <v>223</v>
      </c>
      <c r="B28" s="63">
        <v>1</v>
      </c>
      <c r="C28" s="81">
        <v>1</v>
      </c>
      <c r="D28" s="64"/>
      <c r="F28" s="64">
        <v>200</v>
      </c>
      <c r="G28" s="64">
        <f>F28/1.5</f>
        <v>133.33333333333334</v>
      </c>
    </row>
    <row r="29" spans="1:7">
      <c r="A29" s="63" t="s">
        <v>215</v>
      </c>
      <c r="B29" s="92">
        <v>0.6</v>
      </c>
      <c r="C29" s="82">
        <v>0.6</v>
      </c>
      <c r="D29" s="64"/>
    </row>
    <row r="30" spans="1:7">
      <c r="A30" s="146" t="s">
        <v>207</v>
      </c>
      <c r="B30" s="147">
        <f>B26*B27*B28*(1-B29)</f>
        <v>600</v>
      </c>
      <c r="C30" s="148">
        <f>C26*C27*C28*(1-C29)</f>
        <v>180</v>
      </c>
      <c r="D30" s="64"/>
    </row>
    <row r="31" spans="1:7">
      <c r="D31" s="64"/>
    </row>
    <row r="32" spans="1:7">
      <c r="B32" s="80">
        <f>B30/C30</f>
        <v>3.3333333333333335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zoomScale="125" zoomScaleNormal="125" zoomScalePageLayoutView="125" workbookViewId="0">
      <selection activeCell="E15" sqref="E15"/>
    </sheetView>
  </sheetViews>
  <sheetFormatPr baseColWidth="10" defaultRowHeight="12" x14ac:dyDescent="0"/>
  <cols>
    <col min="1" max="1" width="27.83203125" style="19" bestFit="1" customWidth="1"/>
    <col min="2" max="3" width="13.1640625" style="18" bestFit="1" customWidth="1"/>
    <col min="4" max="4" width="1.5" customWidth="1"/>
    <col min="5" max="6" width="15" style="18" bestFit="1" customWidth="1"/>
    <col min="7" max="16384" width="10.83203125" style="18"/>
  </cols>
  <sheetData>
    <row r="1" spans="1:10">
      <c r="A1" s="165" t="s">
        <v>211</v>
      </c>
      <c r="B1" s="165"/>
      <c r="C1" s="165"/>
    </row>
    <row r="2" spans="1:10">
      <c r="A2" s="20"/>
    </row>
    <row r="3" spans="1:10" s="19" customFormat="1" ht="11">
      <c r="A3" s="96" t="s">
        <v>232</v>
      </c>
      <c r="B3" s="88" t="s">
        <v>209</v>
      </c>
      <c r="C3" s="89" t="s">
        <v>210</v>
      </c>
      <c r="E3" s="19" t="s">
        <v>201</v>
      </c>
    </row>
    <row r="4" spans="1:10">
      <c r="A4" s="132" t="s">
        <v>200</v>
      </c>
      <c r="B4" s="133"/>
      <c r="C4" s="134"/>
      <c r="E4" s="40"/>
    </row>
    <row r="5" spans="1:10">
      <c r="A5" s="113" t="s">
        <v>224</v>
      </c>
      <c r="B5" s="114">
        <v>0.5</v>
      </c>
      <c r="C5" s="115">
        <v>0.5</v>
      </c>
      <c r="E5" s="40"/>
    </row>
    <row r="6" spans="1:10">
      <c r="A6" s="36" t="s">
        <v>226</v>
      </c>
      <c r="B6" s="37">
        <v>0.25</v>
      </c>
      <c r="C6" s="38">
        <v>0.25</v>
      </c>
      <c r="E6" s="40"/>
    </row>
    <row r="7" spans="1:10">
      <c r="A7" s="116" t="s">
        <v>227</v>
      </c>
      <c r="B7" s="117">
        <v>0.25</v>
      </c>
      <c r="C7" s="118">
        <v>0.25</v>
      </c>
      <c r="E7" s="43">
        <f>SUM(B5:B7)</f>
        <v>1</v>
      </c>
      <c r="F7" s="44">
        <f>SUM(C5:C7)</f>
        <v>1</v>
      </c>
    </row>
    <row r="8" spans="1:10">
      <c r="A8" s="119" t="s">
        <v>310</v>
      </c>
      <c r="B8" s="24"/>
      <c r="C8" s="25"/>
      <c r="H8" s="42" t="s">
        <v>239</v>
      </c>
    </row>
    <row r="9" spans="1:10">
      <c r="A9" s="36" t="s">
        <v>236</v>
      </c>
      <c r="B9" s="125">
        <f>'Sale Prices'!G9</f>
        <v>48.5</v>
      </c>
      <c r="C9" s="126">
        <f>B9</f>
        <v>48.5</v>
      </c>
      <c r="E9" s="40"/>
      <c r="H9" s="51">
        <f>'Sale Prices'!G4</f>
        <v>75.2</v>
      </c>
      <c r="I9" s="40" t="s">
        <v>241</v>
      </c>
      <c r="J9" s="40" t="s">
        <v>216</v>
      </c>
    </row>
    <row r="10" spans="1:10">
      <c r="A10" s="36" t="s">
        <v>218</v>
      </c>
      <c r="B10" s="24">
        <f>B5*B24*100</f>
        <v>5000</v>
      </c>
      <c r="C10" s="25">
        <f>C5*C24*100</f>
        <v>5000</v>
      </c>
    </row>
    <row r="11" spans="1:10">
      <c r="A11" s="119" t="s">
        <v>311</v>
      </c>
      <c r="B11" s="24"/>
      <c r="C11" s="25"/>
    </row>
    <row r="12" spans="1:10">
      <c r="A12" s="36" t="s">
        <v>236</v>
      </c>
      <c r="B12" s="125">
        <f>'Sale Prices'!G19</f>
        <v>22.5</v>
      </c>
      <c r="C12" s="126">
        <f>B12</f>
        <v>22.5</v>
      </c>
      <c r="E12" s="40"/>
      <c r="H12" s="51">
        <f>'Sale Prices'!G17</f>
        <v>41.687587168758718</v>
      </c>
      <c r="I12" s="40" t="s">
        <v>241</v>
      </c>
      <c r="J12" s="40" t="s">
        <v>217</v>
      </c>
    </row>
    <row r="13" spans="1:10">
      <c r="A13" s="36" t="s">
        <v>218</v>
      </c>
      <c r="B13" s="24">
        <f>B6*B24*100</f>
        <v>2500</v>
      </c>
      <c r="C13" s="25">
        <f>C6*C24*100</f>
        <v>2500</v>
      </c>
    </row>
    <row r="14" spans="1:10">
      <c r="A14" s="119" t="s">
        <v>225</v>
      </c>
      <c r="B14" s="24"/>
      <c r="C14" s="25"/>
    </row>
    <row r="15" spans="1:10">
      <c r="A15" s="36" t="s">
        <v>236</v>
      </c>
      <c r="B15" s="125">
        <v>30.3</v>
      </c>
      <c r="C15" s="126">
        <f>B15</f>
        <v>30.3</v>
      </c>
      <c r="E15" s="40"/>
      <c r="H15" s="112">
        <v>70.709999999999994</v>
      </c>
      <c r="I15" s="40" t="s">
        <v>241</v>
      </c>
      <c r="J15" s="40" t="s">
        <v>225</v>
      </c>
    </row>
    <row r="16" spans="1:10">
      <c r="A16" s="36" t="s">
        <v>218</v>
      </c>
      <c r="B16" s="24">
        <f>B7*B24*100</f>
        <v>2500</v>
      </c>
      <c r="C16" s="25">
        <f>C7*C24*100</f>
        <v>2500</v>
      </c>
    </row>
    <row r="17" spans="1:7">
      <c r="A17" s="113" t="s">
        <v>234</v>
      </c>
      <c r="B17" s="22">
        <v>100</v>
      </c>
      <c r="C17" s="23">
        <v>100</v>
      </c>
    </row>
    <row r="18" spans="1:7">
      <c r="A18" s="116" t="s">
        <v>235</v>
      </c>
      <c r="B18" s="120">
        <v>25</v>
      </c>
      <c r="C18" s="39">
        <v>25</v>
      </c>
    </row>
    <row r="19" spans="1:7">
      <c r="A19" s="32" t="s">
        <v>207</v>
      </c>
      <c r="B19" s="62">
        <f>B9*B10+B12*B13+B15*B16+B17*B18</f>
        <v>377000</v>
      </c>
      <c r="C19" s="29">
        <f>C9*C10+C12*C13+C15*C16+C17*C18</f>
        <v>377000</v>
      </c>
      <c r="E19" s="65">
        <f>B19/7.6</f>
        <v>49605.26315789474</v>
      </c>
      <c r="F19" s="65">
        <f>C19/7.6</f>
        <v>49605.26315789474</v>
      </c>
      <c r="G19" s="64" t="s">
        <v>242</v>
      </c>
    </row>
    <row r="20" spans="1:7">
      <c r="A20" s="31"/>
      <c r="B20" s="24"/>
      <c r="C20" s="25"/>
    </row>
    <row r="21" spans="1:7">
      <c r="A21" s="138" t="s">
        <v>202</v>
      </c>
      <c r="B21" s="139"/>
      <c r="C21" s="140"/>
    </row>
    <row r="22" spans="1:7">
      <c r="A22" s="63" t="s">
        <v>312</v>
      </c>
      <c r="B22" s="122">
        <f>B24*100</f>
        <v>10000</v>
      </c>
      <c r="C22" s="123">
        <f>C24*100</f>
        <v>10000</v>
      </c>
    </row>
    <row r="23" spans="1:7">
      <c r="A23" s="113" t="s">
        <v>220</v>
      </c>
      <c r="B23" s="127">
        <v>1200</v>
      </c>
      <c r="C23" s="128">
        <v>800</v>
      </c>
    </row>
    <row r="24" spans="1:7">
      <c r="A24" s="36" t="s">
        <v>221</v>
      </c>
      <c r="B24" s="33">
        <v>100</v>
      </c>
      <c r="C24" s="34">
        <v>100</v>
      </c>
    </row>
    <row r="25" spans="1:7">
      <c r="A25" s="129" t="s">
        <v>212</v>
      </c>
      <c r="B25" s="130">
        <f>B23*B24</f>
        <v>120000</v>
      </c>
      <c r="C25" s="131">
        <f>C23*C24</f>
        <v>80000</v>
      </c>
    </row>
    <row r="26" spans="1:7">
      <c r="A26" s="30" t="s">
        <v>214</v>
      </c>
      <c r="B26" s="26">
        <f>'Juan Carlos'!$F$34*'Association IS'!B22</f>
        <v>1154.5454545454545</v>
      </c>
      <c r="C26" s="27">
        <f>'Juan Carlos'!$F$34*'Association IS'!C22</f>
        <v>1154.5454545454545</v>
      </c>
    </row>
    <row r="27" spans="1:7">
      <c r="A27" s="30" t="s">
        <v>213</v>
      </c>
      <c r="B27" s="26">
        <f>50*B24</f>
        <v>5000</v>
      </c>
      <c r="C27" s="27">
        <f>30*C24</f>
        <v>3000</v>
      </c>
      <c r="E27" s="40" t="s">
        <v>230</v>
      </c>
    </row>
    <row r="28" spans="1:7">
      <c r="A28" s="63" t="s">
        <v>265</v>
      </c>
      <c r="B28" s="26">
        <f>12*30*B17</f>
        <v>36000</v>
      </c>
      <c r="C28" s="27">
        <f>B28</f>
        <v>36000</v>
      </c>
      <c r="E28" s="64" t="s">
        <v>267</v>
      </c>
    </row>
    <row r="29" spans="1:7">
      <c r="A29" s="36" t="s">
        <v>238</v>
      </c>
      <c r="B29" s="26"/>
      <c r="C29" s="27"/>
      <c r="E29" s="40" t="s">
        <v>237</v>
      </c>
    </row>
    <row r="30" spans="1:7">
      <c r="A30" s="36" t="s">
        <v>240</v>
      </c>
      <c r="B30" s="26">
        <f>0.17*B19</f>
        <v>64090.000000000007</v>
      </c>
      <c r="C30" s="27">
        <f>0.17*C19</f>
        <v>64090.000000000007</v>
      </c>
      <c r="E30" s="64" t="s">
        <v>269</v>
      </c>
    </row>
    <row r="31" spans="1:7">
      <c r="A31" s="36" t="s">
        <v>219</v>
      </c>
      <c r="B31" s="26"/>
      <c r="C31" s="27"/>
    </row>
    <row r="32" spans="1:7">
      <c r="A32" s="63" t="s">
        <v>305</v>
      </c>
      <c r="B32" s="26">
        <f>8000/3</f>
        <v>2666.6666666666665</v>
      </c>
      <c r="C32" s="27">
        <f>6000/3</f>
        <v>2000</v>
      </c>
    </row>
    <row r="33" spans="1:7">
      <c r="A33" s="36" t="s">
        <v>229</v>
      </c>
      <c r="B33" s="26">
        <v>400</v>
      </c>
      <c r="C33" s="27">
        <v>200</v>
      </c>
    </row>
    <row r="34" spans="1:7">
      <c r="A34" s="36" t="s">
        <v>231</v>
      </c>
      <c r="B34" s="26">
        <f>12500/3</f>
        <v>4166.666666666667</v>
      </c>
      <c r="C34" s="27">
        <f>B34</f>
        <v>4166.666666666667</v>
      </c>
      <c r="E34" s="40" t="s">
        <v>233</v>
      </c>
    </row>
    <row r="35" spans="1:7">
      <c r="A35" s="63" t="s">
        <v>306</v>
      </c>
      <c r="B35" s="101" t="s">
        <v>309</v>
      </c>
      <c r="C35" s="102" t="s">
        <v>309</v>
      </c>
      <c r="E35" s="40" t="s">
        <v>237</v>
      </c>
    </row>
    <row r="36" spans="1:7">
      <c r="A36" s="63" t="s">
        <v>307</v>
      </c>
      <c r="B36" s="101" t="s">
        <v>309</v>
      </c>
      <c r="C36" s="102" t="s">
        <v>309</v>
      </c>
      <c r="E36" s="40" t="s">
        <v>237</v>
      </c>
    </row>
    <row r="37" spans="1:7">
      <c r="A37" s="81" t="s">
        <v>266</v>
      </c>
      <c r="B37" s="101" t="s">
        <v>309</v>
      </c>
      <c r="C37" s="102" t="s">
        <v>309</v>
      </c>
      <c r="E37" s="40" t="s">
        <v>237</v>
      </c>
    </row>
    <row r="38" spans="1:7">
      <c r="A38" s="30"/>
      <c r="B38" s="26"/>
      <c r="C38" s="27"/>
    </row>
    <row r="39" spans="1:7" customFormat="1">
      <c r="A39" s="32" t="s">
        <v>206</v>
      </c>
      <c r="B39" s="28">
        <f>SUM(B25:B38)</f>
        <v>233477.87878787878</v>
      </c>
      <c r="C39" s="29">
        <f>SUM(C25:C38)</f>
        <v>190611.21212121213</v>
      </c>
      <c r="E39" s="18"/>
    </row>
    <row r="40" spans="1:7" customFormat="1">
      <c r="A40" s="30"/>
      <c r="B40" s="26"/>
      <c r="C40" s="27"/>
      <c r="E40" s="18"/>
    </row>
    <row r="41" spans="1:7" customFormat="1" ht="13" thickBot="1">
      <c r="A41" s="135" t="s">
        <v>205</v>
      </c>
      <c r="B41" s="136">
        <f>B19-B39</f>
        <v>143522.12121212122</v>
      </c>
      <c r="C41" s="137">
        <f>C19-C39</f>
        <v>186388.78787878787</v>
      </c>
      <c r="E41" s="45">
        <f>B41/7.6</f>
        <v>18884.489633173846</v>
      </c>
      <c r="F41" s="45">
        <f>C41/7.6</f>
        <v>24524.840510366826</v>
      </c>
      <c r="G41" s="46" t="s">
        <v>242</v>
      </c>
    </row>
    <row r="42" spans="1:7" customFormat="1" ht="13" thickTop="1">
      <c r="A42" s="32" t="s">
        <v>270</v>
      </c>
      <c r="B42" s="66">
        <f>B41/B19</f>
        <v>0.38069528172976452</v>
      </c>
      <c r="C42" s="67">
        <f>C41/C19</f>
        <v>0.49439996784824369</v>
      </c>
      <c r="E42" s="18"/>
    </row>
    <row r="43" spans="1:7" customFormat="1">
      <c r="A43" s="21"/>
      <c r="B43" s="18"/>
      <c r="C43" s="18"/>
      <c r="E43" s="18"/>
    </row>
    <row r="44" spans="1:7" customFormat="1">
      <c r="A44" s="21"/>
      <c r="B44" s="18"/>
      <c r="C44" s="18"/>
      <c r="E44" s="18"/>
    </row>
    <row r="45" spans="1:7" customFormat="1">
      <c r="A45" s="21"/>
      <c r="B45" s="18"/>
      <c r="C45" s="18"/>
      <c r="E45" s="18"/>
    </row>
    <row r="46" spans="1:7" customFormat="1">
      <c r="A46" s="21"/>
      <c r="B46" s="18"/>
      <c r="C46" s="18"/>
      <c r="E46" s="18"/>
    </row>
    <row r="47" spans="1:7" customFormat="1">
      <c r="A47" s="21"/>
      <c r="B47" s="18"/>
      <c r="C47" s="18"/>
      <c r="E47" s="18"/>
    </row>
  </sheetData>
  <mergeCells count="1">
    <mergeCell ref="A1:C1"/>
  </mergeCells>
  <conditionalFormatting sqref="E7:F7">
    <cfRule type="cellIs" dxfId="3" priority="1" operator="lessThan">
      <formula>1</formula>
    </cfRule>
    <cfRule type="cellIs" dxfId="2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zoomScale="125" zoomScaleNormal="125" zoomScalePageLayoutView="125" workbookViewId="0">
      <selection activeCell="B21" sqref="B21"/>
    </sheetView>
  </sheetViews>
  <sheetFormatPr baseColWidth="10" defaultRowHeight="12" x14ac:dyDescent="0"/>
  <cols>
    <col min="1" max="1" width="27.83203125" style="19" bestFit="1" customWidth="1"/>
    <col min="2" max="3" width="13.1640625" style="18" bestFit="1" customWidth="1"/>
    <col min="4" max="4" width="3.1640625" style="18" customWidth="1"/>
    <col min="5" max="5" width="27.83203125" style="18" bestFit="1" customWidth="1"/>
    <col min="6" max="7" width="13.1640625" style="18" bestFit="1" customWidth="1"/>
    <col min="8" max="10" width="13.1640625" style="18" customWidth="1"/>
    <col min="11" max="11" width="1.5" customWidth="1"/>
    <col min="12" max="13" width="15" style="18" bestFit="1" customWidth="1"/>
    <col min="14" max="16384" width="10.83203125" style="18"/>
  </cols>
  <sheetData>
    <row r="1" spans="1:17">
      <c r="A1" s="165" t="s">
        <v>211</v>
      </c>
      <c r="B1" s="165"/>
      <c r="C1" s="165"/>
      <c r="D1" s="165"/>
      <c r="E1" s="165"/>
      <c r="F1" s="165"/>
      <c r="G1" s="165"/>
      <c r="H1" s="35"/>
      <c r="I1" s="35"/>
      <c r="J1" s="35"/>
    </row>
    <row r="2" spans="1:17">
      <c r="A2" s="20"/>
    </row>
    <row r="3" spans="1:17" s="19" customFormat="1" ht="11">
      <c r="A3" s="96" t="s">
        <v>232</v>
      </c>
      <c r="B3" s="88" t="s">
        <v>209</v>
      </c>
      <c r="C3" s="89" t="s">
        <v>210</v>
      </c>
      <c r="D3" s="149"/>
      <c r="E3" s="96" t="s">
        <v>232</v>
      </c>
      <c r="F3" s="88" t="s">
        <v>209</v>
      </c>
      <c r="G3" s="89" t="s">
        <v>210</v>
      </c>
      <c r="H3" s="149"/>
      <c r="I3" s="149"/>
      <c r="J3" s="149"/>
      <c r="L3" s="19" t="s">
        <v>201</v>
      </c>
    </row>
    <row r="4" spans="1:17">
      <c r="A4" s="132" t="s">
        <v>200</v>
      </c>
      <c r="B4" s="133"/>
      <c r="C4" s="134"/>
      <c r="D4" s="139"/>
      <c r="E4" s="152" t="s">
        <v>202</v>
      </c>
      <c r="F4" s="153"/>
      <c r="G4" s="154"/>
      <c r="H4" s="139"/>
      <c r="I4" s="139"/>
      <c r="J4" s="139"/>
      <c r="L4" s="40"/>
    </row>
    <row r="5" spans="1:17">
      <c r="A5" s="113" t="s">
        <v>224</v>
      </c>
      <c r="B5" s="114">
        <v>0.5</v>
      </c>
      <c r="C5" s="115">
        <v>0.5</v>
      </c>
      <c r="D5" s="37"/>
      <c r="E5" s="63" t="s">
        <v>312</v>
      </c>
      <c r="F5" s="122">
        <f>F7*100</f>
        <v>10000</v>
      </c>
      <c r="G5" s="123">
        <f>G7*100</f>
        <v>10000</v>
      </c>
      <c r="H5" s="37"/>
      <c r="I5" s="37"/>
      <c r="J5" s="37"/>
      <c r="L5" s="40"/>
    </row>
    <row r="6" spans="1:17">
      <c r="A6" s="36" t="s">
        <v>226</v>
      </c>
      <c r="B6" s="37">
        <v>0.25</v>
      </c>
      <c r="C6" s="38">
        <v>0.25</v>
      </c>
      <c r="D6" s="37"/>
      <c r="E6" s="113" t="s">
        <v>220</v>
      </c>
      <c r="F6" s="127">
        <v>1200</v>
      </c>
      <c r="G6" s="128">
        <v>800</v>
      </c>
      <c r="H6" s="37"/>
      <c r="I6" s="37"/>
      <c r="J6" s="37"/>
      <c r="L6" s="40"/>
    </row>
    <row r="7" spans="1:17">
      <c r="A7" s="116" t="s">
        <v>227</v>
      </c>
      <c r="B7" s="117">
        <v>0.25</v>
      </c>
      <c r="C7" s="118">
        <v>0.25</v>
      </c>
      <c r="D7" s="37"/>
      <c r="E7" s="36" t="s">
        <v>221</v>
      </c>
      <c r="F7" s="33">
        <v>100</v>
      </c>
      <c r="G7" s="34">
        <v>100</v>
      </c>
      <c r="H7" s="37"/>
      <c r="I7" s="37"/>
      <c r="J7" s="37"/>
      <c r="L7" s="43">
        <f>SUM(B5:B7)</f>
        <v>1</v>
      </c>
      <c r="M7" s="44">
        <f>SUM(C5:C7)</f>
        <v>1</v>
      </c>
    </row>
    <row r="8" spans="1:17">
      <c r="A8" s="119" t="s">
        <v>310</v>
      </c>
      <c r="B8" s="24"/>
      <c r="C8" s="25"/>
      <c r="D8" s="24"/>
      <c r="E8" s="129" t="s">
        <v>212</v>
      </c>
      <c r="F8" s="130">
        <f>F6*F7</f>
        <v>120000</v>
      </c>
      <c r="G8" s="131">
        <f>G6*G7</f>
        <v>80000</v>
      </c>
      <c r="H8" s="24"/>
      <c r="I8" s="24"/>
      <c r="J8" s="24"/>
      <c r="O8" s="42" t="s">
        <v>239</v>
      </c>
    </row>
    <row r="9" spans="1:17">
      <c r="A9" s="36" t="s">
        <v>236</v>
      </c>
      <c r="B9" s="125">
        <f>'Sale Prices'!G9</f>
        <v>48.5</v>
      </c>
      <c r="C9" s="126">
        <f>B9</f>
        <v>48.5</v>
      </c>
      <c r="D9" s="125"/>
      <c r="E9" s="30" t="s">
        <v>214</v>
      </c>
      <c r="F9" s="26">
        <f>'Juan Carlos'!$F$34*'Association IS (2)'!F5</f>
        <v>1154.5454545454545</v>
      </c>
      <c r="G9" s="27">
        <f>'Juan Carlos'!$F$34*'Association IS (2)'!G5</f>
        <v>1154.5454545454545</v>
      </c>
      <c r="H9" s="125"/>
      <c r="I9" s="125"/>
      <c r="J9" s="125"/>
      <c r="L9" s="40"/>
      <c r="O9" s="51">
        <f>'Sale Prices'!G4</f>
        <v>75.2</v>
      </c>
      <c r="P9" s="40" t="s">
        <v>241</v>
      </c>
      <c r="Q9" s="40" t="s">
        <v>216</v>
      </c>
    </row>
    <row r="10" spans="1:17">
      <c r="A10" s="36" t="s">
        <v>218</v>
      </c>
      <c r="B10" s="24">
        <f>B5*B34*100</f>
        <v>5000</v>
      </c>
      <c r="C10" s="25">
        <f>C5*C34*100</f>
        <v>5000</v>
      </c>
      <c r="D10" s="24"/>
      <c r="E10" s="30" t="s">
        <v>213</v>
      </c>
      <c r="F10" s="26">
        <f>50*F7</f>
        <v>5000</v>
      </c>
      <c r="G10" s="27">
        <f>30*G7</f>
        <v>3000</v>
      </c>
      <c r="H10" s="24"/>
      <c r="I10" s="24"/>
      <c r="J10" s="24"/>
    </row>
    <row r="11" spans="1:17">
      <c r="A11" s="119" t="s">
        <v>311</v>
      </c>
      <c r="B11" s="24"/>
      <c r="C11" s="25"/>
      <c r="D11" s="24"/>
      <c r="E11" s="63" t="s">
        <v>265</v>
      </c>
      <c r="F11" s="26">
        <f>B38</f>
        <v>36000</v>
      </c>
      <c r="G11" s="27">
        <f>F11</f>
        <v>36000</v>
      </c>
      <c r="H11" s="24"/>
      <c r="I11" s="24"/>
      <c r="J11" s="24"/>
    </row>
    <row r="12" spans="1:17">
      <c r="A12" s="36" t="s">
        <v>236</v>
      </c>
      <c r="B12" s="125">
        <f>'Sale Prices'!G19</f>
        <v>22.5</v>
      </c>
      <c r="C12" s="126">
        <f>B12</f>
        <v>22.5</v>
      </c>
      <c r="D12" s="125"/>
      <c r="E12" s="36" t="s">
        <v>238</v>
      </c>
      <c r="F12" s="101" t="s">
        <v>309</v>
      </c>
      <c r="G12" s="102" t="s">
        <v>309</v>
      </c>
      <c r="H12" s="125"/>
      <c r="I12" s="125"/>
      <c r="J12" s="125"/>
      <c r="L12" s="40"/>
      <c r="O12" s="51">
        <f>'Sale Prices'!G17</f>
        <v>41.687587168758718</v>
      </c>
      <c r="P12" s="40" t="s">
        <v>241</v>
      </c>
      <c r="Q12" s="40" t="s">
        <v>217</v>
      </c>
    </row>
    <row r="13" spans="1:17">
      <c r="A13" s="36" t="s">
        <v>218</v>
      </c>
      <c r="B13" s="24">
        <f>B6*B34*100</f>
        <v>2500</v>
      </c>
      <c r="C13" s="25">
        <f>C6*C34*100</f>
        <v>2500</v>
      </c>
      <c r="D13" s="24"/>
      <c r="E13" s="36" t="s">
        <v>240</v>
      </c>
      <c r="F13" s="26">
        <f>B40</f>
        <v>64091.28787878788</v>
      </c>
      <c r="G13" s="27">
        <f>F13</f>
        <v>64091.28787878788</v>
      </c>
      <c r="H13" s="24"/>
      <c r="I13" s="24"/>
      <c r="J13" s="24"/>
    </row>
    <row r="14" spans="1:17">
      <c r="A14" s="119" t="s">
        <v>225</v>
      </c>
      <c r="B14" s="24"/>
      <c r="C14" s="25"/>
      <c r="D14" s="24"/>
      <c r="E14" s="36" t="s">
        <v>219</v>
      </c>
      <c r="F14" s="26"/>
      <c r="G14" s="27"/>
      <c r="H14" s="24"/>
      <c r="I14" s="24"/>
      <c r="J14" s="24"/>
    </row>
    <row r="15" spans="1:17">
      <c r="A15" s="36" t="s">
        <v>236</v>
      </c>
      <c r="B15" s="125">
        <f>O15</f>
        <v>30.303030303030301</v>
      </c>
      <c r="C15" s="126">
        <f>B15</f>
        <v>30.303030303030301</v>
      </c>
      <c r="D15" s="125"/>
      <c r="E15" s="63" t="s">
        <v>305</v>
      </c>
      <c r="F15" s="26">
        <f>8000/3</f>
        <v>2666.6666666666665</v>
      </c>
      <c r="G15" s="27">
        <f>6000/3</f>
        <v>2000</v>
      </c>
      <c r="H15" s="125"/>
      <c r="I15" s="125"/>
      <c r="J15" s="125"/>
      <c r="L15" s="40" t="s">
        <v>228</v>
      </c>
      <c r="O15" s="112">
        <f>'Sale Prices'!F32</f>
        <v>30.303030303030301</v>
      </c>
      <c r="P15" s="40" t="s">
        <v>241</v>
      </c>
      <c r="Q15" s="40" t="s">
        <v>225</v>
      </c>
    </row>
    <row r="16" spans="1:17">
      <c r="A16" s="36" t="s">
        <v>218</v>
      </c>
      <c r="B16" s="24">
        <f>B7*B34*100</f>
        <v>2500</v>
      </c>
      <c r="C16" s="25">
        <f>C7*C34*100</f>
        <v>2500</v>
      </c>
      <c r="D16" s="24"/>
      <c r="E16" s="36" t="s">
        <v>229</v>
      </c>
      <c r="F16" s="26">
        <v>400</v>
      </c>
      <c r="G16" s="27">
        <v>200</v>
      </c>
      <c r="H16" s="24"/>
      <c r="I16" s="24"/>
      <c r="J16" s="24"/>
    </row>
    <row r="17" spans="1:14">
      <c r="A17" s="113" t="s">
        <v>234</v>
      </c>
      <c r="B17" s="22">
        <v>100</v>
      </c>
      <c r="C17" s="23">
        <v>100</v>
      </c>
      <c r="D17" s="24"/>
      <c r="E17" s="36" t="s">
        <v>231</v>
      </c>
      <c r="F17" s="26">
        <f>12500/3</f>
        <v>4166.666666666667</v>
      </c>
      <c r="G17" s="27">
        <f>F17</f>
        <v>4166.666666666667</v>
      </c>
      <c r="H17" s="24"/>
      <c r="I17" s="24"/>
      <c r="J17" s="24"/>
    </row>
    <row r="18" spans="1:14">
      <c r="A18" s="116" t="s">
        <v>235</v>
      </c>
      <c r="B18" s="120">
        <v>25</v>
      </c>
      <c r="C18" s="39">
        <v>25</v>
      </c>
      <c r="D18" s="24"/>
      <c r="E18" s="63" t="s">
        <v>306</v>
      </c>
      <c r="F18" s="101" t="s">
        <v>309</v>
      </c>
      <c r="G18" s="102" t="s">
        <v>309</v>
      </c>
      <c r="H18" s="24"/>
      <c r="I18" s="24"/>
      <c r="J18" s="24"/>
    </row>
    <row r="19" spans="1:14">
      <c r="A19" s="32" t="s">
        <v>207</v>
      </c>
      <c r="B19" s="62">
        <f>B9*B10+B12*B13+B15*B16+B17*B18</f>
        <v>377007.57575757575</v>
      </c>
      <c r="C19" s="29">
        <f>C9*C10+C12*C13+C15*C16+C17*C18</f>
        <v>377007.57575757575</v>
      </c>
      <c r="D19" s="26"/>
      <c r="E19" s="63" t="s">
        <v>307</v>
      </c>
      <c r="F19" s="101" t="s">
        <v>309</v>
      </c>
      <c r="G19" s="102" t="s">
        <v>309</v>
      </c>
      <c r="H19" s="26"/>
      <c r="I19" s="26"/>
      <c r="J19" s="26"/>
      <c r="L19" s="65">
        <f>B19/7.6</f>
        <v>49606.259968102073</v>
      </c>
      <c r="M19" s="65">
        <f>C19/7.6</f>
        <v>49606.259968102073</v>
      </c>
      <c r="N19" s="64" t="s">
        <v>242</v>
      </c>
    </row>
    <row r="20" spans="1:14">
      <c r="A20" s="156"/>
      <c r="B20" s="155"/>
      <c r="C20" s="26"/>
      <c r="D20" s="24"/>
      <c r="E20" s="63" t="s">
        <v>266</v>
      </c>
      <c r="F20" s="101" t="s">
        <v>309</v>
      </c>
      <c r="G20" s="102" t="s">
        <v>309</v>
      </c>
      <c r="H20" s="24"/>
      <c r="I20" s="24"/>
      <c r="J20" s="24"/>
    </row>
    <row r="21" spans="1:14">
      <c r="A21" s="156"/>
      <c r="B21" s="155"/>
      <c r="C21" s="26"/>
      <c r="D21" s="139"/>
      <c r="E21" s="32" t="s">
        <v>206</v>
      </c>
      <c r="F21" s="28">
        <f>SUM(F8:F20)</f>
        <v>233479.16666666666</v>
      </c>
      <c r="G21" s="29">
        <f>SUM(G8:G20)</f>
        <v>190612.5</v>
      </c>
      <c r="H21" s="139"/>
      <c r="I21" s="139"/>
      <c r="J21" s="139"/>
    </row>
    <row r="22" spans="1:14" ht="13" thickBot="1">
      <c r="A22" s="156"/>
      <c r="B22" s="155"/>
      <c r="C22" s="26"/>
      <c r="D22" s="122"/>
      <c r="E22" s="135" t="s">
        <v>205</v>
      </c>
      <c r="F22" s="136">
        <f>B51</f>
        <v>143528.40909090909</v>
      </c>
      <c r="G22" s="137">
        <f>C51</f>
        <v>186395.07575757575</v>
      </c>
      <c r="H22" s="122"/>
      <c r="I22" s="122"/>
      <c r="J22" s="122"/>
    </row>
    <row r="23" spans="1:14" ht="13" thickTop="1">
      <c r="A23" s="156"/>
      <c r="B23" s="155"/>
      <c r="C23" s="26"/>
      <c r="D23" s="124"/>
      <c r="E23" s="32" t="s">
        <v>270</v>
      </c>
      <c r="F23" s="66">
        <f>B52</f>
        <v>0.38070431025821361</v>
      </c>
      <c r="G23" s="67">
        <f>C52</f>
        <v>0.49440671154425797</v>
      </c>
      <c r="H23" s="124"/>
      <c r="I23" s="124"/>
      <c r="J23" s="124"/>
    </row>
    <row r="24" spans="1:14">
      <c r="A24" s="156"/>
      <c r="B24" s="155"/>
      <c r="C24" s="26"/>
      <c r="D24" s="33"/>
      <c r="E24" s="26"/>
      <c r="F24" s="26"/>
      <c r="G24" s="26"/>
      <c r="H24" s="33"/>
      <c r="I24" s="33"/>
      <c r="J24" s="33"/>
    </row>
    <row r="25" spans="1:14">
      <c r="A25" s="156"/>
      <c r="B25" s="155"/>
      <c r="C25" s="26"/>
      <c r="D25" s="26"/>
      <c r="E25" s="26"/>
      <c r="F25" s="26"/>
      <c r="G25" s="26"/>
      <c r="H25" s="26"/>
      <c r="I25" s="26"/>
      <c r="J25" s="26"/>
    </row>
    <row r="26" spans="1:14">
      <c r="A26" s="156"/>
      <c r="B26" s="155"/>
      <c r="C26" s="26"/>
      <c r="D26" s="26"/>
      <c r="E26" s="26"/>
      <c r="F26" s="26"/>
      <c r="G26" s="26"/>
      <c r="H26" s="26"/>
      <c r="I26" s="26"/>
      <c r="J26" s="26"/>
    </row>
    <row r="27" spans="1:14">
      <c r="A27" s="156"/>
      <c r="B27" s="155"/>
      <c r="C27" s="26"/>
      <c r="D27" s="26"/>
      <c r="E27" s="26"/>
      <c r="F27" s="26"/>
      <c r="G27" s="26"/>
      <c r="H27" s="26"/>
      <c r="I27" s="26"/>
      <c r="J27" s="26"/>
      <c r="L27" s="40" t="s">
        <v>230</v>
      </c>
    </row>
    <row r="28" spans="1:14">
      <c r="A28" s="156"/>
      <c r="B28" s="155"/>
      <c r="C28" s="26"/>
      <c r="D28" s="26"/>
      <c r="E28" s="26"/>
      <c r="F28" s="26"/>
      <c r="G28" s="26"/>
      <c r="H28" s="26"/>
      <c r="I28" s="26"/>
      <c r="J28" s="26"/>
      <c r="L28" s="64" t="s">
        <v>267</v>
      </c>
    </row>
    <row r="29" spans="1:14">
      <c r="A29" s="156"/>
      <c r="B29" s="155"/>
      <c r="C29" s="26"/>
      <c r="D29" s="26"/>
      <c r="E29" s="26"/>
      <c r="F29" s="26"/>
      <c r="G29" s="26"/>
      <c r="H29" s="26"/>
      <c r="I29" s="26"/>
      <c r="J29" s="26"/>
      <c r="L29" s="40" t="s">
        <v>237</v>
      </c>
    </row>
    <row r="30" spans="1:14">
      <c r="A30" s="31"/>
      <c r="B30" s="24"/>
      <c r="C30" s="25"/>
      <c r="D30" s="26"/>
      <c r="E30" s="26"/>
      <c r="F30" s="26"/>
      <c r="G30" s="26"/>
      <c r="H30" s="26"/>
      <c r="I30" s="26"/>
      <c r="J30" s="26"/>
      <c r="L30" s="64" t="s">
        <v>269</v>
      </c>
    </row>
    <row r="31" spans="1:14">
      <c r="A31" s="138" t="s">
        <v>202</v>
      </c>
      <c r="B31" s="139"/>
      <c r="C31" s="140"/>
      <c r="D31" s="26"/>
      <c r="E31" s="26"/>
      <c r="F31" s="26"/>
      <c r="G31" s="26"/>
      <c r="H31" s="26"/>
      <c r="I31" s="26"/>
      <c r="J31" s="26"/>
    </row>
    <row r="32" spans="1:14">
      <c r="A32" s="63" t="s">
        <v>312</v>
      </c>
      <c r="B32" s="122">
        <f>B34*100</f>
        <v>10000</v>
      </c>
      <c r="C32" s="123">
        <f>C34*100</f>
        <v>10000</v>
      </c>
      <c r="D32" s="26"/>
      <c r="E32" s="26"/>
      <c r="F32" s="26"/>
      <c r="G32" s="26"/>
      <c r="H32" s="26"/>
      <c r="I32" s="26"/>
      <c r="J32" s="26"/>
    </row>
    <row r="33" spans="1:14">
      <c r="A33" s="113" t="s">
        <v>220</v>
      </c>
      <c r="B33" s="127">
        <v>1200</v>
      </c>
      <c r="C33" s="128">
        <v>800</v>
      </c>
      <c r="D33" s="26"/>
      <c r="E33" s="26"/>
      <c r="F33" s="26"/>
      <c r="G33" s="26"/>
      <c r="H33" s="26"/>
      <c r="I33" s="26"/>
      <c r="J33" s="26"/>
    </row>
    <row r="34" spans="1:14">
      <c r="A34" s="36" t="s">
        <v>221</v>
      </c>
      <c r="B34" s="33">
        <v>100</v>
      </c>
      <c r="C34" s="34">
        <v>100</v>
      </c>
      <c r="D34" s="26"/>
      <c r="E34" s="101"/>
      <c r="F34" s="101"/>
      <c r="G34" s="101"/>
      <c r="H34" s="26"/>
      <c r="I34" s="26"/>
      <c r="J34" s="26"/>
      <c r="L34" s="40" t="s">
        <v>233</v>
      </c>
    </row>
    <row r="35" spans="1:14">
      <c r="A35" s="129" t="s">
        <v>212</v>
      </c>
      <c r="B35" s="130">
        <f>B33*B34</f>
        <v>120000</v>
      </c>
      <c r="C35" s="131">
        <f>C33*C34</f>
        <v>80000</v>
      </c>
      <c r="D35" s="101"/>
      <c r="E35" s="101"/>
      <c r="F35" s="101"/>
      <c r="G35" s="101"/>
      <c r="H35" s="101"/>
      <c r="I35" s="101"/>
      <c r="J35" s="101"/>
      <c r="L35" s="40" t="s">
        <v>237</v>
      </c>
    </row>
    <row r="36" spans="1:14">
      <c r="A36" s="30" t="s">
        <v>214</v>
      </c>
      <c r="B36" s="26">
        <f>'Juan Carlos'!$F$34*'Association IS (2)'!B32</f>
        <v>1154.5454545454545</v>
      </c>
      <c r="C36" s="27">
        <f>'Juan Carlos'!$F$34*'Association IS (2)'!C32</f>
        <v>1154.5454545454545</v>
      </c>
      <c r="D36" s="101"/>
      <c r="E36" s="101"/>
      <c r="F36" s="101"/>
      <c r="G36" s="101"/>
      <c r="H36" s="101"/>
      <c r="I36" s="101"/>
      <c r="J36" s="101"/>
      <c r="L36" s="40" t="s">
        <v>237</v>
      </c>
    </row>
    <row r="37" spans="1:14">
      <c r="A37" s="30" t="s">
        <v>213</v>
      </c>
      <c r="B37" s="26">
        <f>50*B34</f>
        <v>5000</v>
      </c>
      <c r="C37" s="27">
        <f>30*C34</f>
        <v>3000</v>
      </c>
      <c r="D37" s="101"/>
      <c r="E37" s="26"/>
      <c r="F37" s="26"/>
      <c r="G37" s="26"/>
      <c r="H37" s="101"/>
      <c r="I37" s="101"/>
      <c r="J37" s="101"/>
      <c r="L37" s="40" t="s">
        <v>237</v>
      </c>
    </row>
    <row r="38" spans="1:14">
      <c r="A38" s="63" t="s">
        <v>265</v>
      </c>
      <c r="B38" s="26">
        <f>12*30*B17</f>
        <v>36000</v>
      </c>
      <c r="C38" s="27">
        <f>B38</f>
        <v>36000</v>
      </c>
      <c r="D38" s="26"/>
      <c r="E38" s="26"/>
      <c r="F38" s="26"/>
      <c r="G38" s="26"/>
      <c r="H38" s="26"/>
      <c r="I38" s="26"/>
      <c r="J38" s="26"/>
    </row>
    <row r="39" spans="1:14" customFormat="1">
      <c r="A39" s="36" t="s">
        <v>238</v>
      </c>
      <c r="B39" s="101" t="s">
        <v>309</v>
      </c>
      <c r="C39" s="102" t="s">
        <v>309</v>
      </c>
      <c r="D39" s="26"/>
      <c r="E39" s="26"/>
      <c r="F39" s="26"/>
      <c r="G39" s="26"/>
      <c r="H39" s="26"/>
      <c r="I39" s="26"/>
      <c r="J39" s="26"/>
      <c r="L39" s="18"/>
    </row>
    <row r="40" spans="1:14" customFormat="1">
      <c r="A40" s="36" t="s">
        <v>240</v>
      </c>
      <c r="B40" s="26">
        <f>0.17*B19</f>
        <v>64091.28787878788</v>
      </c>
      <c r="C40" s="27">
        <f>0.17*C19</f>
        <v>64091.28787878788</v>
      </c>
      <c r="D40" s="26"/>
      <c r="E40" s="150"/>
      <c r="F40" s="150"/>
      <c r="G40" s="150"/>
      <c r="H40" s="26"/>
      <c r="I40" s="26"/>
      <c r="J40" s="26"/>
      <c r="L40" s="18"/>
    </row>
    <row r="41" spans="1:14" customFormat="1">
      <c r="A41" s="36" t="s">
        <v>219</v>
      </c>
      <c r="B41" s="26"/>
      <c r="C41" s="27"/>
      <c r="D41" s="150"/>
      <c r="E41" s="151"/>
      <c r="F41" s="151"/>
      <c r="G41" s="151"/>
      <c r="H41" s="150"/>
      <c r="I41" s="150"/>
      <c r="J41" s="150"/>
      <c r="L41" s="45">
        <f>B51/7.6</f>
        <v>18885.316985645935</v>
      </c>
      <c r="M41" s="45">
        <f>C51/7.6</f>
        <v>24525.667862838916</v>
      </c>
      <c r="N41" s="46" t="s">
        <v>242</v>
      </c>
    </row>
    <row r="42" spans="1:14" customFormat="1">
      <c r="A42" s="63" t="s">
        <v>305</v>
      </c>
      <c r="B42" s="26">
        <f>8000/3</f>
        <v>2666.6666666666665</v>
      </c>
      <c r="C42" s="27">
        <f>6000/3</f>
        <v>2000</v>
      </c>
      <c r="D42" s="151"/>
      <c r="E42" s="18"/>
      <c r="F42" s="18"/>
      <c r="G42" s="18"/>
      <c r="H42" s="151"/>
      <c r="I42" s="151"/>
      <c r="J42" s="151"/>
      <c r="L42" s="18"/>
    </row>
    <row r="43" spans="1:14" customFormat="1">
      <c r="A43" s="36" t="s">
        <v>229</v>
      </c>
      <c r="B43" s="26">
        <v>400</v>
      </c>
      <c r="C43" s="27">
        <v>200</v>
      </c>
      <c r="D43" s="18"/>
      <c r="E43" s="18"/>
      <c r="F43" s="18"/>
      <c r="G43" s="18"/>
      <c r="H43" s="18"/>
      <c r="I43" s="18"/>
      <c r="J43" s="18"/>
      <c r="L43" s="18"/>
    </row>
    <row r="44" spans="1:14" customFormat="1">
      <c r="A44" s="36" t="s">
        <v>231</v>
      </c>
      <c r="B44" s="26">
        <f>12500/3</f>
        <v>4166.666666666667</v>
      </c>
      <c r="C44" s="27">
        <f>B44</f>
        <v>4166.666666666667</v>
      </c>
      <c r="D44" s="18"/>
      <c r="E44" s="18"/>
      <c r="F44" s="18"/>
      <c r="G44" s="18"/>
      <c r="H44" s="18"/>
      <c r="I44" s="18"/>
      <c r="J44" s="18"/>
      <c r="L44" s="18"/>
    </row>
    <row r="45" spans="1:14" customFormat="1">
      <c r="A45" s="63" t="s">
        <v>306</v>
      </c>
      <c r="B45" s="101" t="s">
        <v>309</v>
      </c>
      <c r="C45" s="102" t="s">
        <v>309</v>
      </c>
      <c r="D45" s="18"/>
      <c r="E45" s="18"/>
      <c r="F45" s="18"/>
      <c r="G45" s="18"/>
      <c r="H45" s="18"/>
      <c r="I45" s="18"/>
      <c r="J45" s="18"/>
      <c r="L45" s="18"/>
    </row>
    <row r="46" spans="1:14" customFormat="1">
      <c r="A46" s="63" t="s">
        <v>307</v>
      </c>
      <c r="B46" s="101" t="s">
        <v>309</v>
      </c>
      <c r="C46" s="102" t="s">
        <v>309</v>
      </c>
      <c r="D46" s="18"/>
      <c r="E46" s="18"/>
      <c r="F46" s="18"/>
      <c r="G46" s="18"/>
      <c r="H46" s="18"/>
      <c r="I46" s="18"/>
      <c r="J46" s="18"/>
      <c r="L46" s="18"/>
    </row>
    <row r="47" spans="1:14" customFormat="1">
      <c r="A47" s="81" t="s">
        <v>266</v>
      </c>
      <c r="B47" s="101" t="s">
        <v>309</v>
      </c>
      <c r="C47" s="102" t="s">
        <v>309</v>
      </c>
      <c r="D47" s="18"/>
      <c r="E47" s="18"/>
      <c r="F47" s="18"/>
      <c r="G47" s="18"/>
      <c r="H47" s="18"/>
      <c r="I47" s="18"/>
      <c r="J47" s="18"/>
      <c r="L47" s="18"/>
    </row>
    <row r="48" spans="1:14">
      <c r="A48" s="30"/>
      <c r="B48" s="26"/>
      <c r="C48" s="27"/>
    </row>
    <row r="49" spans="1:3">
      <c r="A49" s="32" t="s">
        <v>206</v>
      </c>
      <c r="B49" s="28">
        <f>SUM(B35:B48)</f>
        <v>233479.16666666666</v>
      </c>
      <c r="C49" s="29">
        <f>SUM(C35:C48)</f>
        <v>190612.5</v>
      </c>
    </row>
    <row r="50" spans="1:3">
      <c r="A50" s="30"/>
      <c r="B50" s="26"/>
      <c r="C50" s="27"/>
    </row>
    <row r="51" spans="1:3" ht="13" thickBot="1">
      <c r="A51" s="135" t="s">
        <v>205</v>
      </c>
      <c r="B51" s="136">
        <f>B19-B49</f>
        <v>143528.40909090909</v>
      </c>
      <c r="C51" s="137">
        <f>C19-C49</f>
        <v>186395.07575757575</v>
      </c>
    </row>
    <row r="52" spans="1:3" ht="13" thickTop="1">
      <c r="A52" s="32" t="s">
        <v>270</v>
      </c>
      <c r="B52" s="66">
        <f>B51/B19</f>
        <v>0.38070431025821361</v>
      </c>
      <c r="C52" s="67">
        <f>C51/C19</f>
        <v>0.49440671154425797</v>
      </c>
    </row>
    <row r="53" spans="1:3">
      <c r="A53" s="21"/>
    </row>
    <row r="54" spans="1:3">
      <c r="A54" s="21"/>
    </row>
    <row r="55" spans="1:3">
      <c r="A55" s="21"/>
    </row>
    <row r="56" spans="1:3">
      <c r="A56" s="21"/>
    </row>
    <row r="57" spans="1:3">
      <c r="A57" s="21"/>
    </row>
  </sheetData>
  <mergeCells count="1">
    <mergeCell ref="A1:G1"/>
  </mergeCells>
  <conditionalFormatting sqref="L7:M7">
    <cfRule type="cellIs" dxfId="1" priority="1" operator="lessThan">
      <formula>1</formula>
    </cfRule>
    <cfRule type="cellIs" dxfId="0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showGridLines="0" tabSelected="1" topLeftCell="A10" zoomScale="125" zoomScaleNormal="125" zoomScalePageLayoutView="125" workbookViewId="0">
      <selection activeCell="J15" sqref="J15"/>
    </sheetView>
  </sheetViews>
  <sheetFormatPr baseColWidth="10" defaultRowHeight="11" x14ac:dyDescent="0"/>
  <cols>
    <col min="1" max="1" width="10.83203125" style="47"/>
    <col min="2" max="2" width="2.83203125" style="70" bestFit="1" customWidth="1"/>
    <col min="3" max="3" width="21.33203125" style="47" bestFit="1" customWidth="1"/>
    <col min="4" max="6" width="10.83203125" style="49"/>
    <col min="7" max="7" width="8" style="49" customWidth="1"/>
    <col min="8" max="16384" width="10.83203125" style="47"/>
  </cols>
  <sheetData>
    <row r="2" spans="2:9">
      <c r="C2" s="169" t="s">
        <v>290</v>
      </c>
      <c r="D2" s="169"/>
      <c r="E2" s="169"/>
      <c r="F2" s="169"/>
      <c r="G2" s="169"/>
    </row>
    <row r="3" spans="2:9" s="48" customFormat="1">
      <c r="B3" s="70"/>
      <c r="C3" s="157" t="s">
        <v>243</v>
      </c>
      <c r="D3" s="158" t="s">
        <v>244</v>
      </c>
      <c r="E3" s="158" t="s">
        <v>245</v>
      </c>
      <c r="F3" s="158" t="s">
        <v>241</v>
      </c>
      <c r="G3" s="158" t="s">
        <v>288</v>
      </c>
    </row>
    <row r="4" spans="2:9" ht="12" customHeight="1">
      <c r="B4" s="167" t="s">
        <v>287</v>
      </c>
      <c r="C4" s="77" t="s">
        <v>260</v>
      </c>
      <c r="D4" s="104">
        <v>0.5</v>
      </c>
      <c r="E4" s="104">
        <v>38</v>
      </c>
      <c r="F4" s="109">
        <f>E4/D4</f>
        <v>76</v>
      </c>
      <c r="G4" s="171">
        <f>AVERAGE(F4:F8)</f>
        <v>75.2</v>
      </c>
    </row>
    <row r="5" spans="2:9">
      <c r="B5" s="167"/>
      <c r="C5" s="74" t="s">
        <v>246</v>
      </c>
      <c r="D5" s="104">
        <v>0.5</v>
      </c>
      <c r="E5" s="104">
        <v>38</v>
      </c>
      <c r="F5" s="109">
        <f t="shared" ref="F5:F22" si="0">E5/D5</f>
        <v>76</v>
      </c>
      <c r="G5" s="172"/>
    </row>
    <row r="6" spans="2:9">
      <c r="B6" s="167"/>
      <c r="C6" s="78" t="s">
        <v>260</v>
      </c>
      <c r="D6" s="104">
        <v>0.25</v>
      </c>
      <c r="E6" s="104">
        <v>20</v>
      </c>
      <c r="F6" s="109">
        <f t="shared" ref="F6:F12" si="1">E6/D6</f>
        <v>80</v>
      </c>
      <c r="G6" s="172"/>
    </row>
    <row r="7" spans="2:9">
      <c r="B7" s="167"/>
      <c r="C7" s="74" t="s">
        <v>246</v>
      </c>
      <c r="D7" s="104">
        <v>0.25</v>
      </c>
      <c r="E7" s="104">
        <v>20</v>
      </c>
      <c r="F7" s="109">
        <f t="shared" si="1"/>
        <v>80</v>
      </c>
      <c r="G7" s="172"/>
    </row>
    <row r="8" spans="2:9">
      <c r="B8" s="167"/>
      <c r="C8" s="78" t="s">
        <v>263</v>
      </c>
      <c r="D8" s="104">
        <v>0.5</v>
      </c>
      <c r="E8" s="104">
        <v>32</v>
      </c>
      <c r="F8" s="109">
        <f t="shared" si="1"/>
        <v>64</v>
      </c>
      <c r="G8" s="173"/>
    </row>
    <row r="9" spans="2:9" ht="12" customHeight="1">
      <c r="B9" s="167" t="s">
        <v>313</v>
      </c>
      <c r="C9" s="77" t="s">
        <v>261</v>
      </c>
      <c r="D9" s="103">
        <v>0.5</v>
      </c>
      <c r="E9" s="103">
        <v>25</v>
      </c>
      <c r="F9" s="75">
        <f t="shared" si="1"/>
        <v>50</v>
      </c>
      <c r="G9" s="171">
        <f>AVERAGE(F9:F12)</f>
        <v>48.5</v>
      </c>
    </row>
    <row r="10" spans="2:9">
      <c r="B10" s="167"/>
      <c r="C10" s="78" t="s">
        <v>261</v>
      </c>
      <c r="D10" s="104">
        <v>0.25</v>
      </c>
      <c r="E10" s="104">
        <v>15</v>
      </c>
      <c r="F10" s="109">
        <f t="shared" si="1"/>
        <v>60</v>
      </c>
      <c r="G10" s="172"/>
    </row>
    <row r="11" spans="2:9">
      <c r="B11" s="167"/>
      <c r="C11" s="74" t="s">
        <v>248</v>
      </c>
      <c r="D11" s="104">
        <v>0.5</v>
      </c>
      <c r="E11" s="104">
        <v>25</v>
      </c>
      <c r="F11" s="109">
        <f t="shared" si="1"/>
        <v>50</v>
      </c>
      <c r="G11" s="172"/>
      <c r="I11" s="50"/>
    </row>
    <row r="12" spans="2:9">
      <c r="B12" s="167"/>
      <c r="C12" s="79" t="s">
        <v>262</v>
      </c>
      <c r="D12" s="105">
        <v>0.5</v>
      </c>
      <c r="E12" s="105">
        <v>17</v>
      </c>
      <c r="F12" s="76">
        <f t="shared" si="1"/>
        <v>34</v>
      </c>
      <c r="G12" s="173"/>
      <c r="I12" s="50"/>
    </row>
    <row r="13" spans="2:9">
      <c r="G13" s="121"/>
      <c r="I13" s="50"/>
    </row>
    <row r="14" spans="2:9">
      <c r="G14" s="160"/>
      <c r="I14" s="50"/>
    </row>
    <row r="15" spans="2:9">
      <c r="C15" s="169" t="s">
        <v>291</v>
      </c>
      <c r="D15" s="169"/>
      <c r="E15" s="169"/>
      <c r="F15" s="169"/>
      <c r="G15" s="170"/>
    </row>
    <row r="16" spans="2:9" s="48" customFormat="1">
      <c r="B16" s="70"/>
      <c r="C16" s="157" t="s">
        <v>243</v>
      </c>
      <c r="D16" s="158" t="s">
        <v>244</v>
      </c>
      <c r="E16" s="158" t="s">
        <v>245</v>
      </c>
      <c r="F16" s="158" t="s">
        <v>241</v>
      </c>
      <c r="G16" s="159" t="s">
        <v>288</v>
      </c>
    </row>
    <row r="17" spans="2:12" ht="12" customHeight="1">
      <c r="B17" s="168" t="s">
        <v>287</v>
      </c>
      <c r="C17" s="73" t="s">
        <v>246</v>
      </c>
      <c r="D17" s="107">
        <v>0.71699999999999997</v>
      </c>
      <c r="E17" s="103">
        <v>31.1</v>
      </c>
      <c r="F17" s="75">
        <f t="shared" si="0"/>
        <v>43.375174337517436</v>
      </c>
      <c r="G17" s="171">
        <f>AVERAGE(F17:F18)</f>
        <v>41.687587168758718</v>
      </c>
    </row>
    <row r="18" spans="2:12">
      <c r="B18" s="168"/>
      <c r="C18" s="78" t="s">
        <v>263</v>
      </c>
      <c r="D18" s="108">
        <v>1</v>
      </c>
      <c r="E18" s="105">
        <v>40</v>
      </c>
      <c r="F18" s="76">
        <f t="shared" si="0"/>
        <v>40</v>
      </c>
      <c r="G18" s="173"/>
    </row>
    <row r="19" spans="2:12" ht="11" customHeight="1">
      <c r="B19" s="167" t="s">
        <v>313</v>
      </c>
      <c r="C19" s="73" t="s">
        <v>108</v>
      </c>
      <c r="D19" s="107">
        <v>1</v>
      </c>
      <c r="E19" s="103">
        <v>32</v>
      </c>
      <c r="F19" s="75">
        <f t="shared" si="0"/>
        <v>32</v>
      </c>
      <c r="G19" s="171">
        <f>AVERAGE(F19:F22)</f>
        <v>22.5</v>
      </c>
    </row>
    <row r="20" spans="2:12">
      <c r="B20" s="167"/>
      <c r="C20" s="78" t="s">
        <v>261</v>
      </c>
      <c r="D20" s="106">
        <v>1</v>
      </c>
      <c r="E20" s="104">
        <v>20</v>
      </c>
      <c r="F20" s="109">
        <f t="shared" si="0"/>
        <v>20</v>
      </c>
      <c r="G20" s="174"/>
    </row>
    <row r="21" spans="2:12">
      <c r="B21" s="167"/>
      <c r="C21" s="78" t="s">
        <v>261</v>
      </c>
      <c r="D21" s="106">
        <v>0.5</v>
      </c>
      <c r="E21" s="104">
        <v>10</v>
      </c>
      <c r="F21" s="109">
        <f t="shared" si="0"/>
        <v>20</v>
      </c>
      <c r="G21" s="174"/>
      <c r="I21" s="50"/>
    </row>
    <row r="22" spans="2:12">
      <c r="B22" s="167"/>
      <c r="C22" s="79" t="s">
        <v>262</v>
      </c>
      <c r="D22" s="108">
        <v>1</v>
      </c>
      <c r="E22" s="105">
        <v>18</v>
      </c>
      <c r="F22" s="76">
        <f t="shared" si="0"/>
        <v>18</v>
      </c>
      <c r="G22" s="175"/>
    </row>
    <row r="23" spans="2:12">
      <c r="C23" s="61"/>
    </row>
    <row r="24" spans="2:12">
      <c r="C24" s="61"/>
    </row>
    <row r="25" spans="2:12">
      <c r="C25" s="61"/>
    </row>
    <row r="26" spans="2:12">
      <c r="K26" s="61" t="s">
        <v>273</v>
      </c>
    </row>
    <row r="27" spans="2:12">
      <c r="D27" s="68"/>
      <c r="E27" s="68"/>
      <c r="F27" s="68"/>
      <c r="K27" s="61">
        <f>1000/2.2</f>
        <v>454.5454545454545</v>
      </c>
      <c r="L27" s="61" t="s">
        <v>274</v>
      </c>
    </row>
    <row r="28" spans="2:12">
      <c r="C28" s="176" t="s">
        <v>247</v>
      </c>
      <c r="D28" s="177"/>
      <c r="E28" s="177"/>
      <c r="F28" s="177"/>
      <c r="G28" s="178"/>
      <c r="H28" s="49"/>
      <c r="L28" s="47">
        <v>2200</v>
      </c>
    </row>
    <row r="29" spans="2:12">
      <c r="C29" s="162" t="s">
        <v>243</v>
      </c>
      <c r="D29" s="158" t="s">
        <v>289</v>
      </c>
      <c r="E29" s="158" t="s">
        <v>245</v>
      </c>
      <c r="F29" s="158" t="s">
        <v>241</v>
      </c>
      <c r="G29" s="159" t="s">
        <v>288</v>
      </c>
      <c r="H29" s="68" t="s">
        <v>271</v>
      </c>
      <c r="I29" s="61" t="s">
        <v>275</v>
      </c>
      <c r="J29" s="61" t="s">
        <v>272</v>
      </c>
      <c r="K29" s="61" t="s">
        <v>241</v>
      </c>
    </row>
    <row r="30" spans="2:12" ht="11" customHeight="1">
      <c r="B30" s="168" t="s">
        <v>287</v>
      </c>
      <c r="C30" s="77" t="s">
        <v>259</v>
      </c>
      <c r="D30" s="72">
        <v>3</v>
      </c>
      <c r="E30" s="72">
        <v>15</v>
      </c>
      <c r="F30" s="103">
        <f>K30</f>
        <v>75.757575757575751</v>
      </c>
      <c r="G30" s="171">
        <f>AVERAGE(F30:F31)</f>
        <v>70.707070707070699</v>
      </c>
      <c r="H30" s="49">
        <f t="shared" ref="H30:H31" si="2">E30/D30</f>
        <v>5</v>
      </c>
      <c r="I30" s="47">
        <v>30</v>
      </c>
      <c r="J30" s="61">
        <v>6.6000000000000003E-2</v>
      </c>
      <c r="K30" s="69">
        <f t="shared" ref="K30:K31" si="3">H30/J30</f>
        <v>75.757575757575751</v>
      </c>
    </row>
    <row r="31" spans="2:12">
      <c r="B31" s="168"/>
      <c r="C31" s="78" t="s">
        <v>246</v>
      </c>
      <c r="D31" s="71">
        <v>3</v>
      </c>
      <c r="E31" s="71">
        <v>13</v>
      </c>
      <c r="F31" s="104">
        <f t="shared" ref="F31:F33" si="4">K31</f>
        <v>65.656565656565647</v>
      </c>
      <c r="G31" s="179"/>
      <c r="H31" s="161">
        <f t="shared" si="2"/>
        <v>4.333333333333333</v>
      </c>
      <c r="I31" s="47">
        <v>30</v>
      </c>
      <c r="J31" s="61">
        <v>6.6000000000000003E-2</v>
      </c>
      <c r="K31" s="69">
        <f t="shared" si="3"/>
        <v>65.656565656565647</v>
      </c>
    </row>
    <row r="32" spans="2:12" ht="11" customHeight="1">
      <c r="B32" s="180" t="s">
        <v>313</v>
      </c>
      <c r="C32" s="77" t="s">
        <v>262</v>
      </c>
      <c r="D32" s="110">
        <v>1</v>
      </c>
      <c r="E32" s="103">
        <v>2</v>
      </c>
      <c r="F32" s="103">
        <f t="shared" si="4"/>
        <v>30.303030303030301</v>
      </c>
      <c r="G32" s="171">
        <f>AVERAGE(F32:F33)</f>
        <v>30.303030303030301</v>
      </c>
      <c r="H32" s="49">
        <f>E32/D32</f>
        <v>2</v>
      </c>
      <c r="I32" s="47">
        <v>30</v>
      </c>
      <c r="J32" s="61">
        <v>6.6000000000000003E-2</v>
      </c>
      <c r="K32" s="69">
        <f>H32/J32</f>
        <v>30.303030303030301</v>
      </c>
      <c r="L32" s="47">
        <f>30/K27</f>
        <v>6.6000000000000003E-2</v>
      </c>
    </row>
    <row r="33" spans="2:11">
      <c r="B33" s="181"/>
      <c r="C33" s="79" t="s">
        <v>262</v>
      </c>
      <c r="D33" s="111">
        <v>2</v>
      </c>
      <c r="E33" s="105">
        <v>4</v>
      </c>
      <c r="F33" s="105">
        <f t="shared" si="4"/>
        <v>30.303030303030301</v>
      </c>
      <c r="G33" s="173"/>
      <c r="H33" s="49">
        <f>E33/D33</f>
        <v>2</v>
      </c>
      <c r="I33" s="47">
        <v>30</v>
      </c>
      <c r="J33" s="61">
        <v>6.6000000000000003E-2</v>
      </c>
      <c r="K33" s="69">
        <f>H33/J33</f>
        <v>30.303030303030301</v>
      </c>
    </row>
    <row r="37" spans="2:11">
      <c r="C37" s="166" t="s">
        <v>268</v>
      </c>
      <c r="D37" s="166"/>
      <c r="E37" s="166"/>
      <c r="F37" s="166"/>
    </row>
    <row r="38" spans="2:11">
      <c r="C38" s="47" t="s">
        <v>248</v>
      </c>
      <c r="D38" s="49">
        <v>1</v>
      </c>
      <c r="E38" s="49">
        <v>22</v>
      </c>
      <c r="F38" s="49">
        <f t="shared" ref="F38" si="5">E38/D38</f>
        <v>22</v>
      </c>
    </row>
    <row r="45" spans="2:11">
      <c r="C45" s="61" t="s">
        <v>264</v>
      </c>
    </row>
    <row r="46" spans="2:11">
      <c r="C46" s="61" t="s">
        <v>260</v>
      </c>
      <c r="D46" s="49">
        <v>0.5</v>
      </c>
      <c r="E46" s="49">
        <v>38</v>
      </c>
    </row>
  </sheetData>
  <mergeCells count="16">
    <mergeCell ref="G19:G22"/>
    <mergeCell ref="C28:G28"/>
    <mergeCell ref="G30:G31"/>
    <mergeCell ref="G32:G33"/>
    <mergeCell ref="B32:B33"/>
    <mergeCell ref="B30:B31"/>
    <mergeCell ref="C2:G2"/>
    <mergeCell ref="C15:G15"/>
    <mergeCell ref="G4:G8"/>
    <mergeCell ref="G9:G12"/>
    <mergeCell ref="G17:G18"/>
    <mergeCell ref="C37:F37"/>
    <mergeCell ref="B4:B8"/>
    <mergeCell ref="B9:B12"/>
    <mergeCell ref="B17:B18"/>
    <mergeCell ref="B19:B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 of Data from Guatemala</vt:lpstr>
      <vt:lpstr>Costs</vt:lpstr>
      <vt:lpstr>Qicha Aloom</vt:lpstr>
      <vt:lpstr>Chicakh book</vt:lpstr>
      <vt:lpstr>Juan Carlos</vt:lpstr>
      <vt:lpstr>Farmer IS</vt:lpstr>
      <vt:lpstr>Association IS</vt:lpstr>
      <vt:lpstr>Association IS (2)</vt:lpstr>
      <vt:lpstr>Sale Prices</vt:lpstr>
      <vt:lpstr>Value Chain</vt:lpstr>
      <vt:lpstr>Startup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Kudija</cp:lastModifiedBy>
  <dcterms:created xsi:type="dcterms:W3CDTF">2014-03-10T01:41:02Z</dcterms:created>
  <dcterms:modified xsi:type="dcterms:W3CDTF">2014-04-02T04:59:57Z</dcterms:modified>
</cp:coreProperties>
</file>