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 Holdings Q1 2025" sheetId="1" r:id="rId3"/>
  </sheets>
  <definedNames/>
  <calcPr/>
</workbook>
</file>

<file path=xl/sharedStrings.xml><?xml version="1.0" encoding="utf-8"?>
<sst xmlns="http://schemas.openxmlformats.org/spreadsheetml/2006/main" count="618" uniqueCount="239">
  <si>
    <t>AWP Stocks/ETFs (non-GSM)</t>
  </si>
  <si>
    <t>Diverse Technology</t>
  </si>
  <si>
    <t>% of portfolio assets</t>
  </si>
  <si>
    <t>Company</t>
  </si>
  <si>
    <t>Ticker</t>
  </si>
  <si>
    <t>TT Score</t>
  </si>
  <si>
    <t>Shares</t>
  </si>
  <si>
    <t>Starting position + adds</t>
  </si>
  <si>
    <t>Current position + adds/sales</t>
  </si>
  <si>
    <t xml:space="preserve">Price at start/add </t>
  </si>
  <si>
    <t>Day Chng %</t>
  </si>
  <si>
    <t>Current price</t>
  </si>
  <si>
    <t>Sale price/strike price</t>
  </si>
  <si>
    <t>Price change</t>
  </si>
  <si>
    <t xml:space="preserve">% Gain/loss </t>
  </si>
  <si>
    <t>Gain/Loss</t>
  </si>
  <si>
    <t>Div Yield</t>
  </si>
  <si>
    <t>Div Income</t>
  </si>
  <si>
    <t>Active CCD Info</t>
  </si>
  <si>
    <t>CCD Income</t>
  </si>
  <si>
    <t>Active collar/put info</t>
  </si>
  <si>
    <t>Sales in quarter</t>
  </si>
  <si>
    <t>Sell date</t>
  </si>
  <si>
    <t xml:space="preserve">Sale price </t>
  </si>
  <si>
    <t xml:space="preserve">Position size </t>
  </si>
  <si>
    <t>Adds in quarter</t>
  </si>
  <si>
    <t>Date added</t>
  </si>
  <si>
    <t>Buy in price</t>
  </si>
  <si>
    <t>Position size</t>
  </si>
  <si>
    <t>% of total assets</t>
  </si>
  <si>
    <t xml:space="preserve">Google </t>
  </si>
  <si>
    <t>GOOG</t>
  </si>
  <si>
    <t xml:space="preserve">Baidu </t>
  </si>
  <si>
    <t xml:space="preserve">BIDU </t>
  </si>
  <si>
    <t>BIDU</t>
  </si>
  <si>
    <t>Tesla *</t>
  </si>
  <si>
    <t>TSLA</t>
  </si>
  <si>
    <t xml:space="preserve">Tesla </t>
  </si>
  <si>
    <t>AMD *</t>
  </si>
  <si>
    <t>AMD</t>
  </si>
  <si>
    <t xml:space="preserve">AMD </t>
  </si>
  <si>
    <t>Amazon *</t>
  </si>
  <si>
    <t>AMZN</t>
  </si>
  <si>
    <t xml:space="preserve">Amazon </t>
  </si>
  <si>
    <t>Palantir *</t>
  </si>
  <si>
    <t>PLTR</t>
  </si>
  <si>
    <t xml:space="preserve">Palantir </t>
  </si>
  <si>
    <t xml:space="preserve">Exercised </t>
  </si>
  <si>
    <t>Nvidia *</t>
  </si>
  <si>
    <t xml:space="preserve">NVDA </t>
  </si>
  <si>
    <t xml:space="preserve">Nvidia </t>
  </si>
  <si>
    <t>NVDA</t>
  </si>
  <si>
    <t xml:space="preserve">Marvell </t>
  </si>
  <si>
    <t>MRVL</t>
  </si>
  <si>
    <t>Broadcom *</t>
  </si>
  <si>
    <t>AVGO</t>
  </si>
  <si>
    <t xml:space="preserve">Broadcom </t>
  </si>
  <si>
    <t xml:space="preserve">Meta Platforms </t>
  </si>
  <si>
    <t>META</t>
  </si>
  <si>
    <t>Dell *</t>
  </si>
  <si>
    <t>DELL</t>
  </si>
  <si>
    <t xml:space="preserve">Dell </t>
  </si>
  <si>
    <t>Salesforce *</t>
  </si>
  <si>
    <t>CRM</t>
  </si>
  <si>
    <t xml:space="preserve">Salesforce </t>
  </si>
  <si>
    <t>Zscaler</t>
  </si>
  <si>
    <t>ZS</t>
  </si>
  <si>
    <t>OKTA</t>
  </si>
  <si>
    <t xml:space="preserve">Qualcomm </t>
  </si>
  <si>
    <t>QCOM</t>
  </si>
  <si>
    <t>ASML Holdings</t>
  </si>
  <si>
    <t>ASML</t>
  </si>
  <si>
    <t>SentinelOne *</t>
  </si>
  <si>
    <t>S</t>
  </si>
  <si>
    <t xml:space="preserve">SentinelOne </t>
  </si>
  <si>
    <t>Datadog</t>
  </si>
  <si>
    <t>DDOG</t>
  </si>
  <si>
    <t xml:space="preserve">Snap Inc. </t>
  </si>
  <si>
    <t>SNAP</t>
  </si>
  <si>
    <t>Total</t>
  </si>
  <si>
    <t>Oil</t>
  </si>
  <si>
    <t>Collar play/put</t>
  </si>
  <si>
    <t>Devon</t>
  </si>
  <si>
    <t>DVN</t>
  </si>
  <si>
    <t>Schlumberger</t>
  </si>
  <si>
    <t>SLB</t>
  </si>
  <si>
    <t>Hess Corp.</t>
  </si>
  <si>
    <t>HES</t>
  </si>
  <si>
    <t>Biotech/Pharma</t>
  </si>
  <si>
    <t>Regeneron</t>
  </si>
  <si>
    <t>REGN</t>
  </si>
  <si>
    <t xml:space="preserve">Amgen </t>
  </si>
  <si>
    <t>AMGN</t>
  </si>
  <si>
    <t>Pfizer</t>
  </si>
  <si>
    <t>PFE</t>
  </si>
  <si>
    <t xml:space="preserve">UnitedHealth </t>
  </si>
  <si>
    <t>UNH</t>
  </si>
  <si>
    <t xml:space="preserve">Total </t>
  </si>
  <si>
    <t xml:space="preserve">Defense </t>
  </si>
  <si>
    <t xml:space="preserve">General Dynamics </t>
  </si>
  <si>
    <t>GD</t>
  </si>
  <si>
    <t>Lockheed Martin</t>
  </si>
  <si>
    <t>LMT</t>
  </si>
  <si>
    <t xml:space="preserve">Axon </t>
  </si>
  <si>
    <t>AXON</t>
  </si>
  <si>
    <t xml:space="preserve">Northrop Grumman </t>
  </si>
  <si>
    <t>NOC</t>
  </si>
  <si>
    <t xml:space="preserve">L3 Harris </t>
  </si>
  <si>
    <t>LHX</t>
  </si>
  <si>
    <t xml:space="preserve">Industrials/Materials </t>
  </si>
  <si>
    <t xml:space="preserve">Mosaic </t>
  </si>
  <si>
    <t>MOS</t>
  </si>
  <si>
    <t xml:space="preserve">Intrepid Potash </t>
  </si>
  <si>
    <t>IPI</t>
  </si>
  <si>
    <t>Cameco *</t>
  </si>
  <si>
    <t>CCJ</t>
  </si>
  <si>
    <t xml:space="preserve">Oklo </t>
  </si>
  <si>
    <t>OKLO</t>
  </si>
  <si>
    <t xml:space="preserve">Constellation </t>
  </si>
  <si>
    <t>CEG</t>
  </si>
  <si>
    <t>Vistra Corp</t>
  </si>
  <si>
    <t>VST</t>
  </si>
  <si>
    <t xml:space="preserve">Lithium Americas </t>
  </si>
  <si>
    <t>LAC</t>
  </si>
  <si>
    <t xml:space="preserve">Albemarle </t>
  </si>
  <si>
    <t>ALB</t>
  </si>
  <si>
    <t>GSMs (gold, silver, miners)</t>
  </si>
  <si>
    <t>Company/Asset</t>
  </si>
  <si>
    <t>Physical Gold</t>
  </si>
  <si>
    <t>Gold</t>
  </si>
  <si>
    <t>Total physical GSM</t>
  </si>
  <si>
    <t>Physical Silver</t>
  </si>
  <si>
    <t>Silver</t>
  </si>
  <si>
    <t xml:space="preserve">Physical GSM % of portfolio </t>
  </si>
  <si>
    <t xml:space="preserve">Gold miner ETF </t>
  </si>
  <si>
    <t>GDX</t>
  </si>
  <si>
    <t>Total non-physical GSM</t>
  </si>
  <si>
    <t>Junior Gold miner ETF</t>
  </si>
  <si>
    <t>GDXJ</t>
  </si>
  <si>
    <t>Non-physical GSM %</t>
  </si>
  <si>
    <t>Agnico Eagle Mines *</t>
  </si>
  <si>
    <t>AEM</t>
  </si>
  <si>
    <t xml:space="preserve">Agnico Eagle Mines </t>
  </si>
  <si>
    <t>Newmont *</t>
  </si>
  <si>
    <t>NEM</t>
  </si>
  <si>
    <t xml:space="preserve">Newmont </t>
  </si>
  <si>
    <t xml:space="preserve">Barrick Gold </t>
  </si>
  <si>
    <t>GOLD</t>
  </si>
  <si>
    <t xml:space="preserve">Pan American Silver </t>
  </si>
  <si>
    <t>PAAS</t>
  </si>
  <si>
    <t>Hecla Mining *</t>
  </si>
  <si>
    <t>HL</t>
  </si>
  <si>
    <t xml:space="preserve">Hecla Mining </t>
  </si>
  <si>
    <t>B2Gold</t>
  </si>
  <si>
    <t>BTG</t>
  </si>
  <si>
    <t>Gold/silver mining ETF</t>
  </si>
  <si>
    <t>SLVP</t>
  </si>
  <si>
    <t xml:space="preserve">Digital Asset Basket </t>
  </si>
  <si>
    <t>Coin</t>
  </si>
  <si>
    <t>Coin/stock</t>
  </si>
  <si>
    <t>N/A</t>
  </si>
  <si>
    <t xml:space="preserve">Bitcoin </t>
  </si>
  <si>
    <t>BTCUSD</t>
  </si>
  <si>
    <t xml:space="preserve">Bitcoin Cash </t>
  </si>
  <si>
    <t>BCHUSD</t>
  </si>
  <si>
    <t>BCH</t>
  </si>
  <si>
    <t xml:space="preserve">Polkadot </t>
  </si>
  <si>
    <t>DOTUSD</t>
  </si>
  <si>
    <t>DOT</t>
  </si>
  <si>
    <t xml:space="preserve">Doge </t>
  </si>
  <si>
    <t>DOGEUSD</t>
  </si>
  <si>
    <t>DOGE</t>
  </si>
  <si>
    <t>Caradno</t>
  </si>
  <si>
    <t>ADAUSD</t>
  </si>
  <si>
    <t>ADA</t>
  </si>
  <si>
    <t xml:space="preserve">Ethereum </t>
  </si>
  <si>
    <t>ETHUSD</t>
  </si>
  <si>
    <t>ETH</t>
  </si>
  <si>
    <t xml:space="preserve">Total Assets </t>
  </si>
  <si>
    <t>Position %</t>
  </si>
  <si>
    <t>Starting position w adds</t>
  </si>
  <si>
    <t xml:space="preserve">Starting position </t>
  </si>
  <si>
    <t>Current position w adds/sales</t>
  </si>
  <si>
    <t xml:space="preserve">Gain/loss </t>
  </si>
  <si>
    <t>Covered call dividends/CCD</t>
  </si>
  <si>
    <t>Dividends/D</t>
  </si>
  <si>
    <t>Collar/Put options</t>
  </si>
  <si>
    <t>Stock/ETF gain w/CCD/D/P</t>
  </si>
  <si>
    <t xml:space="preserve">Diversified Tech Segment </t>
  </si>
  <si>
    <t>"Other" Stock Segments</t>
  </si>
  <si>
    <t>Gold/Silver/Miners (GSMs)</t>
  </si>
  <si>
    <t>Cryptocurrency Basket</t>
  </si>
  <si>
    <t>Cash/Money Market</t>
  </si>
  <si>
    <t>AWP at the start of 2025</t>
  </si>
  <si>
    <t xml:space="preserve">AWP Current Total </t>
  </si>
  <si>
    <t xml:space="preserve">YTD Profit/Loss </t>
  </si>
  <si>
    <t>2025 YTD Return</t>
  </si>
  <si>
    <t xml:space="preserve">Total   </t>
  </si>
  <si>
    <t>Core positions are marked with an *</t>
  </si>
  <si>
    <t xml:space="preserve">Major Averages </t>
  </si>
  <si>
    <t>Start Q1 2025</t>
  </si>
  <si>
    <t xml:space="preserve">Current </t>
  </si>
  <si>
    <t>QTD Gain/Loss</t>
  </si>
  <si>
    <t>Change QTD</t>
  </si>
  <si>
    <t>CCD Table - Shares</t>
  </si>
  <si>
    <t>Stock</t>
  </si>
  <si>
    <t>CCD date</t>
  </si>
  <si>
    <t>Expiration date</t>
  </si>
  <si>
    <t>Strike price</t>
  </si>
  <si>
    <t>Option premium</t>
  </si>
  <si>
    <t>Total premium</t>
  </si>
  <si>
    <t>Close date</t>
  </si>
  <si>
    <t>Close premium</t>
  </si>
  <si>
    <t>Profit/loss</t>
  </si>
  <si>
    <t>Collar/Put Table</t>
  </si>
  <si>
    <t>Collar/Put date</t>
  </si>
  <si>
    <t xml:space="preserve">Dow Jones </t>
  </si>
  <si>
    <t>.DJI</t>
  </si>
  <si>
    <t>S&amp;P 500</t>
  </si>
  <si>
    <t>.INX</t>
  </si>
  <si>
    <t>Nasdaq</t>
  </si>
  <si>
    <t>.IXIC</t>
  </si>
  <si>
    <t>Russell 2000</t>
  </si>
  <si>
    <t>RUT</t>
  </si>
  <si>
    <t>NYSE Composite</t>
  </si>
  <si>
    <t>NYA</t>
  </si>
  <si>
    <t>Exercised</t>
  </si>
  <si>
    <t>Start 2025</t>
  </si>
  <si>
    <t>YTD Gain/Loss</t>
  </si>
  <si>
    <t>Change YTD</t>
  </si>
  <si>
    <t xml:space="preserve">The All-Weather Portfolio </t>
  </si>
  <si>
    <t>https://rc.seekingalpha.com/group/All-Weather-Portfolio-Updates</t>
  </si>
  <si>
    <t>The Financial Prophet</t>
  </si>
  <si>
    <t>https://rc.seekingalpha.com/group/the-financial-prophet</t>
  </si>
  <si>
    <t>Ask The Prophet</t>
  </si>
  <si>
    <t>https://rc.seekingalpha.com/group/Ask-The-Prophet</t>
  </si>
  <si>
    <t xml:space="preserve">The Prophet's ETF Portfolio </t>
  </si>
  <si>
    <t>https://seekingalpha.com/mp/1129-the-financial-prophet/articles/5986827-the-all-weather-etf-portfolio-embedded</t>
  </si>
  <si>
    <t xml:space="preserve">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</si>
</sst>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&quot;$&quot;#,##0"/>
    <numFmt numFmtId="166" formatCode="[Green]▲ 0.00;[Red]▼ -0.00"/>
    <numFmt numFmtId="167" formatCode="[Green]▲ 0.00%;[Red]▼ -0.00%"/>
    <numFmt numFmtId="168" formatCode="m/d/yy"/>
    <numFmt numFmtId="169" formatCode="&quot;$&quot;#,##0.0000"/>
  </numFmts>
  <fonts count="14">
    <font>
      <sz val="10.0"/>
      <color rgb="FF000000"/>
      <name val="Arial"/>
    </font>
    <font>
      <name val="Arial"/>
    </font>
    <font>
      <b/>
      <name val="Arial"/>
    </font>
    <font>
      <b/>
      <color rgb="FF000000"/>
      <name val="Arial"/>
    </font>
    <font>
      <color rgb="FF000000"/>
      <name val="Arial"/>
    </font>
    <font>
      <color rgb="FFFF0000"/>
      <name val="Arial"/>
    </font>
    <font>
      <b/>
      <color rgb="FF222222"/>
      <name val="Arial"/>
    </font>
    <font>
      <color rgb="FF222222"/>
      <name val="Arial"/>
    </font>
    <font>
      <color rgb="FF00FF00"/>
      <name val="Arial"/>
    </font>
    <font>
      <b/>
      <sz val="10.0"/>
      <name val="Arial"/>
    </font>
    <font>
      <b/>
      <color rgb="FF1F1F1F"/>
      <name val="Google Sans"/>
    </font>
    <font>
      <sz val="10.0"/>
      <name val="Arial"/>
    </font>
    <font>
      <b/>
      <sz val="11.0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3" fontId="2" numFmtId="0" xfId="0" applyAlignment="1" applyBorder="1" applyFill="1" applyFont="1">
      <alignment vertical="bottom"/>
    </xf>
    <xf borderId="4" fillId="3" fontId="2" numFmtId="0" xfId="0" applyAlignment="1" applyBorder="1" applyFont="1">
      <alignment vertical="bottom"/>
    </xf>
    <xf borderId="4" fillId="3" fontId="3" numFmtId="164" xfId="0" applyAlignment="1" applyBorder="1" applyFont="1" applyNumberFormat="1">
      <alignment vertical="bottom"/>
    </xf>
    <xf borderId="4" fillId="3" fontId="3" numFmtId="164" xfId="0" applyAlignment="1" applyBorder="1" applyFont="1" applyNumberFormat="1">
      <alignment vertical="bottom"/>
    </xf>
    <xf borderId="4" fillId="3" fontId="3" numFmtId="0" xfId="0" applyAlignment="1" applyBorder="1" applyFont="1">
      <alignment vertical="bottom"/>
    </xf>
    <xf borderId="4" fillId="3" fontId="2" numFmtId="165" xfId="0" applyAlignment="1" applyBorder="1" applyFont="1" applyNumberFormat="1">
      <alignment vertical="bottom"/>
    </xf>
    <xf borderId="4" fillId="3" fontId="2" numFmtId="164" xfId="0" applyAlignment="1" applyBorder="1" applyFont="1" applyNumberFormat="1">
      <alignment vertical="bottom"/>
    </xf>
    <xf borderId="1" fillId="3" fontId="2" numFmtId="0" xfId="0" applyAlignment="1" applyBorder="1" applyFont="1">
      <alignment vertical="bottom"/>
    </xf>
    <xf borderId="4" fillId="0" fontId="1" numFmtId="10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readingOrder="0" vertical="bottom"/>
    </xf>
    <xf borderId="4" fillId="0" fontId="1" numFmtId="3" xfId="0" applyAlignment="1" applyBorder="1" applyFont="1" applyNumberFormat="1">
      <alignment horizontal="right" vertical="bottom"/>
    </xf>
    <xf borderId="4" fillId="0" fontId="1" numFmtId="165" xfId="0" applyAlignment="1" applyBorder="1" applyFont="1" applyNumberFormat="1">
      <alignment horizontal="right" vertical="bottom"/>
    </xf>
    <xf borderId="4" fillId="0" fontId="1" numFmtId="164" xfId="0" applyAlignment="1" applyBorder="1" applyFont="1" applyNumberFormat="1">
      <alignment horizontal="right" readingOrder="0" vertical="bottom"/>
    </xf>
    <xf borderId="4" fillId="4" fontId="1" numFmtId="166" xfId="0" applyAlignment="1" applyBorder="1" applyFill="1" applyFont="1" applyNumberFormat="1">
      <alignment horizontal="right" vertical="bottom"/>
    </xf>
    <xf borderId="4" fillId="0" fontId="4" numFmtId="164" xfId="0" applyAlignment="1" applyBorder="1" applyFont="1" applyNumberFormat="1">
      <alignment horizontal="right" vertical="bottom"/>
    </xf>
    <xf borderId="4" fillId="0" fontId="1" numFmtId="16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horizontal="right" vertical="bottom"/>
    </xf>
    <xf borderId="4" fillId="4" fontId="1" numFmtId="167" xfId="0" applyAlignment="1" applyBorder="1" applyFont="1" applyNumberFormat="1">
      <alignment horizontal="right" vertical="bottom"/>
    </xf>
    <xf borderId="4" fillId="5" fontId="1" numFmtId="164" xfId="0" applyAlignment="1" applyBorder="1" applyFill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4" fillId="0" fontId="1" numFmtId="168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1" fillId="2" fontId="3" numFmtId="10" xfId="0" applyAlignment="1" applyBorder="1" applyFont="1" applyNumberFormat="1">
      <alignment horizontal="right" vertical="bottom"/>
    </xf>
    <xf borderId="4" fillId="0" fontId="1" numFmtId="3" xfId="0" applyAlignment="1" applyBorder="1" applyFont="1" applyNumberFormat="1">
      <alignment horizontal="right" readingOrder="0" vertical="bottom"/>
    </xf>
    <xf borderId="4" fillId="0" fontId="1" numFmtId="165" xfId="0" applyAlignment="1" applyBorder="1" applyFont="1" applyNumberFormat="1">
      <alignment horizontal="right" readingOrder="0" vertical="bottom"/>
    </xf>
    <xf borderId="4" fillId="0" fontId="1" numFmtId="164" xfId="0" applyAlignment="1" applyBorder="1" applyFont="1" applyNumberFormat="1">
      <alignment readingOrder="0" vertical="bottom"/>
    </xf>
    <xf borderId="4" fillId="0" fontId="1" numFmtId="10" xfId="0" applyAlignment="1" applyBorder="1" applyFont="1" applyNumberFormat="1">
      <alignment vertical="bottom"/>
    </xf>
    <xf borderId="1" fillId="5" fontId="1" numFmtId="164" xfId="0" applyAlignment="1" applyBorder="1" applyFont="1" applyNumberFormat="1">
      <alignment vertical="bottom"/>
    </xf>
    <xf borderId="4" fillId="0" fontId="2" numFmtId="0" xfId="0" applyAlignment="1" applyBorder="1" applyFont="1">
      <alignment readingOrder="0" vertical="bottom"/>
    </xf>
    <xf borderId="4" fillId="0" fontId="1" numFmtId="168" xfId="0" applyAlignment="1" applyBorder="1" applyFont="1" applyNumberFormat="1">
      <alignment readingOrder="0" vertical="bottom"/>
    </xf>
    <xf borderId="4" fillId="0" fontId="1" numFmtId="165" xfId="0" applyAlignment="1" applyBorder="1" applyFont="1" applyNumberFormat="1">
      <alignment readingOrder="0" vertical="bottom"/>
    </xf>
    <xf borderId="3" fillId="0" fontId="1" numFmtId="0" xfId="0" applyAlignment="1" applyBorder="1" applyFont="1">
      <alignment vertical="bottom"/>
    </xf>
    <xf borderId="4" fillId="5" fontId="1" numFmtId="164" xfId="0" applyAlignment="1" applyBorder="1" applyFont="1" applyNumberFormat="1">
      <alignment readingOrder="0" vertical="bottom"/>
    </xf>
    <xf borderId="4" fillId="0" fontId="2" numFmtId="0" xfId="0" applyAlignment="1" applyBorder="1" applyFont="1">
      <alignment readingOrder="0" vertical="bottom"/>
    </xf>
    <xf borderId="4" fillId="5" fontId="2" numFmtId="0" xfId="0" applyAlignment="1" applyBorder="1" applyFont="1">
      <alignment readingOrder="0" vertical="bottom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horizontal="right" readingOrder="0" vertical="bottom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readingOrder="0" vertical="bottom"/>
    </xf>
    <xf borderId="4" fillId="0" fontId="1" numFmtId="164" xfId="0" applyAlignment="1" applyBorder="1" applyFont="1" applyNumberFormat="1">
      <alignment readingOrder="0" vertical="bottom"/>
    </xf>
    <xf borderId="4" fillId="0" fontId="1" numFmtId="168" xfId="0" applyAlignment="1" applyBorder="1" applyFont="1" applyNumberFormat="1">
      <alignment horizontal="right" vertical="bottom"/>
    </xf>
    <xf borderId="4" fillId="0" fontId="1" numFmtId="168" xfId="0" applyAlignment="1" applyBorder="1" applyFont="1" applyNumberFormat="1">
      <alignment horizontal="right" readingOrder="0" vertical="bottom"/>
    </xf>
    <xf borderId="3" fillId="5" fontId="1" numFmtId="0" xfId="0" applyAlignment="1" applyBorder="1" applyFont="1">
      <alignment vertical="bottom"/>
    </xf>
    <xf borderId="4" fillId="5" fontId="1" numFmtId="0" xfId="0" applyAlignment="1" applyBorder="1" applyFont="1">
      <alignment vertical="bottom"/>
    </xf>
    <xf borderId="4" fillId="5" fontId="1" numFmtId="10" xfId="0" applyAlignment="1" applyBorder="1" applyFont="1" applyNumberFormat="1">
      <alignment vertical="bottom"/>
    </xf>
    <xf borderId="4" fillId="5" fontId="1" numFmtId="3" xfId="0" applyAlignment="1" applyBorder="1" applyFont="1" applyNumberFormat="1">
      <alignment readingOrder="0" vertical="bottom"/>
    </xf>
    <xf borderId="4" fillId="5" fontId="1" numFmtId="10" xfId="0" applyAlignment="1" applyBorder="1" applyFont="1" applyNumberFormat="1">
      <alignment vertical="bottom"/>
    </xf>
    <xf borderId="4" fillId="5" fontId="2" numFmtId="165" xfId="0" applyAlignment="1" applyBorder="1" applyFont="1" applyNumberFormat="1">
      <alignment horizontal="right" vertical="bottom"/>
    </xf>
    <xf borderId="4" fillId="5" fontId="1" numFmtId="168" xfId="0" applyAlignment="1" applyBorder="1" applyFont="1" applyNumberFormat="1">
      <alignment readingOrder="0" vertical="bottom"/>
    </xf>
    <xf borderId="4" fillId="5" fontId="1" numFmtId="165" xfId="0" applyAlignment="1" applyBorder="1" applyFont="1" applyNumberFormat="1">
      <alignment horizontal="right" readingOrder="0" vertical="bottom"/>
    </xf>
    <xf borderId="3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4" fillId="3" fontId="1" numFmtId="165" xfId="0" applyAlignment="1" applyBorder="1" applyFont="1" applyNumberFormat="1">
      <alignment vertical="bottom"/>
    </xf>
    <xf borderId="4" fillId="3" fontId="2" numFmtId="165" xfId="0" applyAlignment="1" applyBorder="1" applyFont="1" applyNumberFormat="1">
      <alignment horizontal="right" vertical="bottom"/>
    </xf>
    <xf borderId="4" fillId="3" fontId="3" numFmtId="165" xfId="0" applyAlignment="1" applyBorder="1" applyFont="1" applyNumberFormat="1">
      <alignment horizontal="right" vertical="bottom"/>
    </xf>
    <xf borderId="4" fillId="3" fontId="1" numFmtId="164" xfId="0" applyAlignment="1" applyBorder="1" applyFont="1" applyNumberFormat="1">
      <alignment vertical="bottom"/>
    </xf>
    <xf borderId="4" fillId="3" fontId="3" numFmtId="10" xfId="0" applyAlignment="1" applyBorder="1" applyFont="1" applyNumberFormat="1">
      <alignment horizontal="right" vertical="bottom"/>
    </xf>
    <xf borderId="4" fillId="3" fontId="1" numFmtId="10" xfId="0" applyAlignment="1" applyBorder="1" applyFont="1" applyNumberFormat="1">
      <alignment vertical="bottom"/>
    </xf>
    <xf borderId="3" fillId="2" fontId="2" numFmtId="0" xfId="0" applyAlignment="1" applyBorder="1" applyFont="1">
      <alignment vertical="bottom"/>
    </xf>
    <xf borderId="4" fillId="2" fontId="2" numFmtId="10" xfId="0" applyAlignment="1" applyBorder="1" applyFont="1" applyNumberFormat="1">
      <alignment horizontal="right" vertical="bottom"/>
    </xf>
    <xf borderId="4" fillId="5" fontId="1" numFmtId="10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vertical="bottom"/>
    </xf>
    <xf borderId="4" fillId="5" fontId="1" numFmtId="3" xfId="0" applyAlignment="1" applyBorder="1" applyFont="1" applyNumberFormat="1">
      <alignment horizontal="right" readingOrder="0" vertical="bottom"/>
    </xf>
    <xf borderId="4" fillId="5" fontId="4" numFmtId="164" xfId="0" applyAlignment="1" applyBorder="1" applyFont="1" applyNumberFormat="1">
      <alignment horizontal="right" readingOrder="0" vertical="bottom"/>
    </xf>
    <xf borderId="4" fillId="5" fontId="1" numFmtId="165" xfId="0" applyAlignment="1" applyBorder="1" applyFont="1" applyNumberFormat="1">
      <alignment vertical="bottom"/>
    </xf>
    <xf borderId="4" fillId="5" fontId="1" numFmtId="165" xfId="0" applyAlignment="1" applyBorder="1" applyFont="1" applyNumberFormat="1">
      <alignment readingOrder="0" vertical="bottom"/>
    </xf>
    <xf borderId="4" fillId="5" fontId="1" numFmtId="168" xfId="0" applyAlignment="1" applyBorder="1" applyFont="1" applyNumberFormat="1">
      <alignment vertical="bottom"/>
    </xf>
    <xf borderId="4" fillId="5" fontId="1" numFmtId="165" xfId="0" applyAlignment="1" applyBorder="1" applyFont="1" applyNumberFormat="1">
      <alignment horizontal="right" vertical="bottom"/>
    </xf>
    <xf borderId="4" fillId="3" fontId="1" numFmtId="3" xfId="0" applyAlignment="1" applyBorder="1" applyFont="1" applyNumberFormat="1">
      <alignment vertical="bottom"/>
    </xf>
    <xf borderId="4" fillId="3" fontId="1" numFmtId="164" xfId="0" applyAlignment="1" applyBorder="1" applyFont="1" applyNumberFormat="1">
      <alignment vertical="bottom"/>
    </xf>
    <xf borderId="4" fillId="3" fontId="2" numFmtId="10" xfId="0" applyAlignment="1" applyBorder="1" applyFont="1" applyNumberFormat="1">
      <alignment horizontal="right" vertical="bottom"/>
    </xf>
    <xf borderId="4" fillId="3" fontId="2" numFmtId="165" xfId="0" applyAlignment="1" applyBorder="1" applyFont="1" applyNumberFormat="1">
      <alignment readingOrder="0" vertical="bottom"/>
    </xf>
    <xf borderId="4" fillId="5" fontId="1" numFmtId="3" xfId="0" applyAlignment="1" applyBorder="1" applyFont="1" applyNumberFormat="1">
      <alignment horizontal="right" vertical="bottom"/>
    </xf>
    <xf borderId="4" fillId="5" fontId="4" numFmtId="165" xfId="0" applyAlignment="1" applyBorder="1" applyFont="1" applyNumberFormat="1">
      <alignment horizontal="right" readingOrder="0" vertical="bottom"/>
    </xf>
    <xf borderId="4" fillId="5" fontId="4" numFmtId="164" xfId="0" applyAlignment="1" applyBorder="1" applyFont="1" applyNumberFormat="1">
      <alignment horizontal="right" readingOrder="0" vertical="bottom"/>
    </xf>
    <xf borderId="4" fillId="5" fontId="4" numFmtId="164" xfId="0" applyAlignment="1" applyBorder="1" applyFont="1" applyNumberFormat="1">
      <alignment horizontal="right" vertical="bottom"/>
    </xf>
    <xf borderId="4" fillId="5" fontId="4" numFmtId="165" xfId="0" applyAlignment="1" applyBorder="1" applyFont="1" applyNumberFormat="1">
      <alignment horizontal="right" vertical="bottom"/>
    </xf>
    <xf borderId="4" fillId="5" fontId="1" numFmtId="164" xfId="0" applyAlignment="1" applyBorder="1" applyFont="1" applyNumberFormat="1">
      <alignment readingOrder="0" vertical="bottom"/>
    </xf>
    <xf borderId="4" fillId="5" fontId="1" numFmtId="168" xfId="0" applyAlignment="1" applyBorder="1" applyFont="1" applyNumberFormat="1">
      <alignment horizontal="right" vertical="bottom"/>
    </xf>
    <xf borderId="4" fillId="5" fontId="4" numFmtId="164" xfId="0" applyAlignment="1" applyBorder="1" applyFont="1" applyNumberFormat="1">
      <alignment horizontal="right" vertical="bottom"/>
    </xf>
    <xf borderId="4" fillId="5" fontId="1" numFmtId="164" xfId="0" applyAlignment="1" applyBorder="1" applyFont="1" applyNumberFormat="1">
      <alignment vertical="bottom"/>
    </xf>
    <xf borderId="4" fillId="5" fontId="1" numFmtId="168" xfId="0" applyAlignment="1" applyBorder="1" applyFont="1" applyNumberFormat="1">
      <alignment horizontal="right" readingOrder="0" vertical="bottom"/>
    </xf>
    <xf borderId="1" fillId="2" fontId="2" numFmtId="0" xfId="0" applyAlignment="1" applyBorder="1" applyFont="1">
      <alignment vertical="bottom"/>
    </xf>
    <xf borderId="2" fillId="2" fontId="2" numFmtId="10" xfId="0" applyAlignment="1" applyBorder="1" applyFont="1" applyNumberFormat="1">
      <alignment horizontal="right" vertical="bottom"/>
    </xf>
    <xf borderId="4" fillId="5" fontId="3" numFmtId="0" xfId="0" applyAlignment="1" applyBorder="1" applyFont="1">
      <alignment vertical="bottom"/>
    </xf>
    <xf borderId="4" fillId="0" fontId="4" numFmtId="165" xfId="0" applyAlignment="1" applyBorder="1" applyFont="1" applyNumberFormat="1">
      <alignment horizontal="right" vertical="bottom"/>
    </xf>
    <xf borderId="4" fillId="5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vertical="bottom"/>
    </xf>
    <xf borderId="4" fillId="4" fontId="1" numFmtId="0" xfId="0" applyAlignment="1" applyBorder="1" applyFont="1">
      <alignment vertical="bottom"/>
    </xf>
    <xf borderId="4" fillId="0" fontId="4" numFmtId="164" xfId="0" applyAlignment="1" applyBorder="1" applyFont="1" applyNumberFormat="1">
      <alignment horizontal="right" readingOrder="0" vertical="bottom"/>
    </xf>
    <xf borderId="4" fillId="0" fontId="1" numFmtId="16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4" fillId="0" fontId="2" numFmtId="165" xfId="0" applyAlignment="1" applyBorder="1" applyFont="1" applyNumberFormat="1">
      <alignment horizontal="right" vertical="bottom"/>
    </xf>
    <xf borderId="4" fillId="0" fontId="4" numFmtId="164" xfId="0" applyAlignment="1" applyBorder="1" applyFont="1" applyNumberFormat="1">
      <alignment horizontal="right" readingOrder="0" vertical="bottom"/>
    </xf>
    <xf borderId="4" fillId="0" fontId="2" numFmtId="10" xfId="0" applyAlignment="1" applyBorder="1" applyFont="1" applyNumberFormat="1">
      <alignment horizontal="right" vertical="bottom"/>
    </xf>
    <xf borderId="4" fillId="4" fontId="5" numFmtId="166" xfId="0" applyAlignment="1" applyBorder="1" applyFont="1" applyNumberFormat="1">
      <alignment horizontal="right" vertical="bottom"/>
    </xf>
    <xf borderId="4" fillId="0" fontId="1" numFmtId="10" xfId="0" applyAlignment="1" applyBorder="1" applyFont="1" applyNumberFormat="1">
      <alignment horizontal="right" readingOrder="0" vertical="bottom"/>
    </xf>
    <xf borderId="4" fillId="0" fontId="1" numFmtId="0" xfId="0" applyAlignment="1" applyBorder="1" applyFont="1">
      <alignment readingOrder="0" vertical="bottom"/>
    </xf>
    <xf borderId="4" fillId="5" fontId="6" numFmtId="0" xfId="0" applyAlignment="1" applyBorder="1" applyFont="1">
      <alignment vertical="bottom"/>
    </xf>
    <xf borderId="4" fillId="4" fontId="1" numFmtId="166" xfId="0" applyAlignment="1" applyBorder="1" applyFont="1" applyNumberFormat="1">
      <alignment vertical="bottom"/>
    </xf>
    <xf borderId="1" fillId="0" fontId="4" numFmtId="165" xfId="0" applyAlignment="1" applyBorder="1" applyFont="1" applyNumberFormat="1">
      <alignment horizontal="right" readingOrder="0" vertical="bottom"/>
    </xf>
    <xf borderId="4" fillId="0" fontId="7" numFmtId="164" xfId="0" applyAlignment="1" applyBorder="1" applyFont="1" applyNumberFormat="1">
      <alignment horizontal="right" vertical="bottom"/>
    </xf>
    <xf borderId="4" fillId="4" fontId="8" numFmtId="167" xfId="0" applyAlignment="1" applyBorder="1" applyFont="1" applyNumberFormat="1">
      <alignment horizontal="right" vertical="bottom"/>
    </xf>
    <xf borderId="4" fillId="0" fontId="7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1" numFmtId="168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1" fillId="0" fontId="2" numFmtId="0" xfId="0" applyAlignment="1" applyBorder="1" applyFont="1">
      <alignment readingOrder="0" vertical="bottom"/>
    </xf>
    <xf borderId="1" fillId="0" fontId="1" numFmtId="168" xfId="0" applyAlignment="1" applyBorder="1" applyFont="1" applyNumberForma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4" fillId="0" fontId="1" numFmtId="164" xfId="0" applyAlignment="1" applyBorder="1" applyFont="1" applyNumberFormat="1">
      <alignment horizontal="right"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4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horizontal="right" readingOrder="0" vertical="bottom"/>
    </xf>
    <xf borderId="4" fillId="0" fontId="1" numFmtId="169" xfId="0" applyAlignment="1" applyBorder="1" applyFont="1" applyNumberFormat="1">
      <alignment horizontal="right" readingOrder="0" vertical="bottom"/>
    </xf>
    <xf borderId="1" fillId="0" fontId="4" numFmtId="169" xfId="0" applyAlignment="1" applyBorder="1" applyFont="1" applyNumberFormat="1">
      <alignment horizontal="right" readingOrder="0" vertical="bottom"/>
    </xf>
    <xf borderId="1" fillId="0" fontId="1" numFmtId="169" xfId="0" applyAlignment="1" applyBorder="1" applyFont="1" applyNumberFormat="1">
      <alignment readingOrder="0" vertical="bottom"/>
    </xf>
    <xf borderId="4" fillId="0" fontId="1" numFmtId="164" xfId="0" applyAlignment="1" applyBorder="1" applyFont="1" applyNumberFormat="1">
      <alignment readingOrder="0" vertical="bottom"/>
    </xf>
    <xf borderId="1" fillId="0" fontId="1" numFmtId="165" xfId="0" applyAlignment="1" applyBorder="1" applyFont="1" applyNumberFormat="1">
      <alignment readingOrder="0" vertical="bottom"/>
    </xf>
    <xf borderId="1" fillId="0" fontId="1" numFmtId="164" xfId="0" applyAlignment="1" applyBorder="1" applyFont="1" applyNumberFormat="1">
      <alignment vertical="bottom"/>
    </xf>
    <xf borderId="1" fillId="3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4" fillId="2" fontId="2" numFmtId="165" xfId="0" applyAlignment="1" applyBorder="1" applyFont="1" applyNumberFormat="1">
      <alignment horizontal="right" vertical="bottom"/>
    </xf>
    <xf borderId="1" fillId="5" fontId="10" numFmtId="0" xfId="0" applyAlignment="1" applyBorder="1" applyFont="1">
      <alignment vertical="bottom"/>
    </xf>
    <xf borderId="4" fillId="4" fontId="1" numFmtId="167" xfId="0" applyAlignment="1" applyBorder="1" applyFont="1" applyNumberFormat="1">
      <alignment vertical="bottom"/>
    </xf>
    <xf borderId="0" fillId="4" fontId="8" numFmtId="167" xfId="0" applyAlignment="1" applyFont="1" applyNumberFormat="1">
      <alignment horizontal="right" vertical="bottom"/>
    </xf>
    <xf borderId="4" fillId="2" fontId="1" numFmtId="167" xfId="0" applyAlignment="1" applyBorder="1" applyFont="1" applyNumberFormat="1">
      <alignment vertical="bottom"/>
    </xf>
    <xf borderId="4" fillId="2" fontId="1" numFmtId="165" xfId="0" applyAlignment="1" applyBorder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4" fillId="0" fontId="11" numFmtId="165" xfId="0" applyAlignment="1" applyBorder="1" applyFont="1" applyNumberFormat="1">
      <alignment horizontal="right" readingOrder="0" vertical="bottom"/>
    </xf>
    <xf borderId="4" fillId="5" fontId="1" numFmtId="0" xfId="0" applyAlignment="1" applyBorder="1" applyFont="1">
      <alignment horizontal="right" vertical="bottom"/>
    </xf>
    <xf borderId="4" fillId="2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vertical="bottom"/>
    </xf>
    <xf borderId="4" fillId="3" fontId="2" numFmtId="165" xfId="0" applyAlignment="1" applyBorder="1" applyFont="1" applyNumberFormat="1">
      <alignment horizontal="right" readingOrder="0" vertical="bottom"/>
    </xf>
    <xf borderId="1" fillId="3" fontId="2" numFmtId="165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3" fillId="6" fontId="2" numFmtId="0" xfId="0" applyAlignment="1" applyBorder="1" applyFill="1" applyFont="1">
      <alignment vertical="bottom"/>
    </xf>
    <xf borderId="4" fillId="6" fontId="1" numFmtId="0" xfId="0" applyAlignment="1" applyBorder="1" applyFont="1">
      <alignment vertical="bottom"/>
    </xf>
    <xf borderId="4" fillId="6" fontId="2" numFmtId="0" xfId="0" applyAlignment="1" applyBorder="1" applyFont="1">
      <alignment readingOrder="0" vertical="bottom"/>
    </xf>
    <xf borderId="4" fillId="6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3" fontId="12" numFmtId="0" xfId="0" applyAlignment="1" applyBorder="1" applyFont="1">
      <alignment vertical="bottom"/>
    </xf>
    <xf borderId="4" fillId="0" fontId="3" numFmtId="3" xfId="0" applyAlignment="1" applyBorder="1" applyFont="1" applyNumberFormat="1">
      <alignment horizontal="right" readingOrder="0" vertical="bottom"/>
    </xf>
    <xf borderId="4" fillId="0" fontId="3" numFmtId="3" xfId="0" applyAlignment="1" applyBorder="1" applyFont="1" applyNumberFormat="1">
      <alignment horizontal="right" vertical="bottom"/>
    </xf>
    <xf borderId="4" fillId="0" fontId="2" numFmtId="4" xfId="0" applyAlignment="1" applyBorder="1" applyFont="1" applyNumberFormat="1">
      <alignment horizontal="right" vertical="bottom"/>
    </xf>
    <xf borderId="4" fillId="4" fontId="2" numFmtId="167" xfId="0" applyAlignment="1" applyBorder="1" applyFont="1" applyNumberFormat="1">
      <alignment horizontal="right" vertical="bottom"/>
    </xf>
    <xf borderId="7" fillId="5" fontId="1" numFmtId="166" xfId="0" applyAlignment="1" applyBorder="1" applyFont="1" applyNumberFormat="1">
      <alignment vertical="bottom"/>
    </xf>
    <xf borderId="1" fillId="2" fontId="2" numFmtId="3" xfId="0" applyAlignment="1" applyBorder="1" applyFont="1" applyNumberFormat="1">
      <alignment horizontal="right" vertical="bottom"/>
    </xf>
    <xf borderId="1" fillId="0" fontId="1" numFmtId="168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vertical="bottom"/>
    </xf>
    <xf borderId="1" fillId="2" fontId="2" numFmtId="3" xfId="0" applyAlignment="1" applyBorder="1" applyFont="1" applyNumberFormat="1">
      <alignment horizontal="right" readingOrder="0" vertical="bottom"/>
    </xf>
    <xf borderId="1" fillId="0" fontId="1" numFmtId="168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2" fontId="2" numFmtId="3" xfId="0" applyAlignment="1" applyBorder="1" applyFont="1" applyNumberFormat="1">
      <alignment horizontal="right" readingOrder="0" vertical="bottom"/>
    </xf>
    <xf borderId="1" fillId="5" fontId="2" numFmtId="0" xfId="0" applyAlignment="1" applyBorder="1" applyFont="1">
      <alignment readingOrder="0" vertical="bottom"/>
    </xf>
    <xf borderId="1" fillId="5" fontId="1" numFmtId="168" xfId="0" applyAlignment="1" applyBorder="1" applyFont="1" applyNumberFormat="1">
      <alignment horizontal="right" readingOrder="0" vertical="bottom"/>
    </xf>
    <xf borderId="1" fillId="5" fontId="1" numFmtId="164" xfId="0" applyAlignment="1" applyBorder="1" applyFont="1" applyNumberFormat="1">
      <alignment horizontal="right" readingOrder="0" vertical="bottom"/>
    </xf>
    <xf borderId="1" fillId="5" fontId="1" numFmtId="165" xfId="0" applyAlignment="1" applyBorder="1" applyFont="1" applyNumberFormat="1">
      <alignment horizontal="right" readingOrder="0" vertical="bottom"/>
    </xf>
    <xf borderId="1" fillId="5" fontId="1" numFmtId="164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1" numFmtId="168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6" fontId="1" numFmtId="0" xfId="0" applyAlignment="1" applyBorder="1" applyFont="1">
      <alignment vertical="bottom"/>
    </xf>
    <xf borderId="1" fillId="6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3" numFmtId="3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1" fillId="4" fontId="2" numFmtId="167" xfId="0" applyAlignment="1" applyBorder="1" applyFont="1" applyNumberFormat="1">
      <alignment horizontal="right" vertical="bottom"/>
    </xf>
    <xf borderId="1" fillId="5" fontId="2" numFmtId="0" xfId="0" applyAlignment="1" applyBorder="1" applyFont="1">
      <alignment vertical="bottom"/>
    </xf>
    <xf borderId="1" fillId="5" fontId="1" numFmtId="168" xfId="0" applyAlignment="1" applyBorder="1" applyFont="1" applyNumberFormat="1">
      <alignment horizontal="right" vertical="bottom"/>
    </xf>
    <xf borderId="1" fillId="5" fontId="1" numFmtId="164" xfId="0" applyAlignment="1" applyBorder="1" applyFont="1" applyNumberFormat="1">
      <alignment horizontal="right" vertical="bottom"/>
    </xf>
    <xf borderId="1" fillId="5" fontId="1" numFmtId="165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vertical="bottom"/>
    </xf>
    <xf borderId="1" fillId="3" fontId="2" numFmtId="165" xfId="0" applyAlignment="1" applyBorder="1" applyFont="1" applyNumberFormat="1">
      <alignment horizontal="right" vertical="bottom"/>
    </xf>
    <xf borderId="1" fillId="3" fontId="1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13" numFmtId="0" xfId="0" applyAlignment="1" applyFont="1">
      <alignment vertical="bottom"/>
    </xf>
    <xf borderId="1" fillId="2" fontId="1" numFmtId="3" xfId="0" applyAlignment="1" applyBorder="1" applyFont="1" applyNumberFormat="1">
      <alignment vertical="bottom"/>
    </xf>
    <xf borderId="1" fillId="5" fontId="1" numFmtId="0" xfId="0" applyAlignment="1" applyBorder="1" applyFont="1">
      <alignment vertical="bottom"/>
    </xf>
    <xf borderId="1" fillId="5" fontId="1" numFmtId="165" xfId="0" applyAlignment="1" applyBorder="1" applyFont="1" applyNumberFormat="1">
      <alignment vertical="bottom"/>
    </xf>
    <xf borderId="1" fillId="5" fontId="1" numFmtId="168" xfId="0" applyAlignment="1" applyBorder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1" fillId="5" fontId="1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hyperlink" Target="https://seekingalpha.com/mp/1129-the-financial-prophet/articles/5986827-the-all-weather-etf-portfolio-embedded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23.38"/>
    <col customWidth="1" min="3" max="3" width="20.38"/>
    <col customWidth="1" min="4" max="4" width="19.13"/>
    <col customWidth="1" min="5" max="5" width="24.75"/>
    <col customWidth="1" min="8" max="8" width="23.25"/>
    <col customWidth="1" min="9" max="9" width="24.38"/>
    <col customWidth="1" min="10" max="10" width="15.38"/>
    <col customWidth="1" min="11" max="11" width="22.13"/>
    <col customWidth="1" min="12" max="12" width="11.5"/>
    <col customWidth="1" min="13" max="13" width="18.25"/>
    <col customWidth="1" min="14" max="14" width="13.5"/>
    <col customWidth="1" min="15" max="15" width="10.88"/>
    <col customWidth="1" min="16" max="16" width="14.25"/>
    <col customWidth="1" min="17" max="17" width="10.0"/>
    <col customWidth="1" min="18" max="18" width="9.88"/>
    <col customWidth="1" min="19" max="19" width="26.5"/>
    <col customWidth="1" min="20" max="20" width="10.88"/>
    <col customWidth="1" min="21" max="21" width="17.5"/>
    <col customWidth="1" min="22" max="22" width="14.25"/>
    <col customWidth="1" min="23" max="23" width="11.0"/>
    <col customWidth="1" min="24" max="24" width="15.13"/>
    <col customWidth="1" min="25" max="25" width="13.5"/>
    <col customWidth="1" min="26" max="26" width="13.38"/>
    <col customWidth="1" min="27" max="27" width="14.25"/>
    <col customWidth="1" min="28" max="28" width="10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7" t="s">
        <v>13</v>
      </c>
      <c r="O2" s="4" t="s">
        <v>14</v>
      </c>
      <c r="P2" s="7" t="s">
        <v>15</v>
      </c>
      <c r="Q2" s="4" t="s">
        <v>16</v>
      </c>
      <c r="R2" s="8" t="s">
        <v>17</v>
      </c>
      <c r="S2" s="7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9" t="s">
        <v>23</v>
      </c>
      <c r="Y2" s="9" t="s">
        <v>24</v>
      </c>
      <c r="Z2" s="4" t="s">
        <v>25</v>
      </c>
      <c r="AA2" s="4" t="s">
        <v>26</v>
      </c>
      <c r="AB2" s="4" t="s">
        <v>27</v>
      </c>
      <c r="AC2" s="4" t="s">
        <v>28</v>
      </c>
    </row>
    <row r="3">
      <c r="A3" s="10" t="s">
        <v>29</v>
      </c>
      <c r="B3" s="10" t="s">
        <v>29</v>
      </c>
      <c r="C3" s="11">
        <f>I3/E129</f>
        <v>0.0121222997</v>
      </c>
      <c r="D3" s="12" t="s">
        <v>30</v>
      </c>
      <c r="E3" s="12" t="s">
        <v>31</v>
      </c>
      <c r="F3" s="13">
        <v>8.2</v>
      </c>
      <c r="G3" s="14">
        <v>2000.0</v>
      </c>
      <c r="H3" s="15">
        <f t="shared" ref="H3:H45" si="1">G3*J3</f>
        <v>380880</v>
      </c>
      <c r="I3" s="15">
        <f>H3+P3</f>
        <v>332560</v>
      </c>
      <c r="J3" s="16">
        <v>190.44</v>
      </c>
      <c r="K3" s="17">
        <f>IFERROR(__xludf.DUMMYFUNCTION("GOOGLEFINANCE(E3,""changepct"")"),2.22)</f>
        <v>2.22</v>
      </c>
      <c r="L3" s="18">
        <f>IFERROR(__xludf.DUMMYFUNCTION("googlefinance(E3,""price"")"),166.28)</f>
        <v>166.28</v>
      </c>
      <c r="M3" s="19"/>
      <c r="N3" s="20">
        <f t="shared" ref="N3:N45" si="2">L3-J3</f>
        <v>-24.16</v>
      </c>
      <c r="O3" s="21">
        <f>L3/J3-1</f>
        <v>-0.1268641042</v>
      </c>
      <c r="P3" s="15">
        <f t="shared" ref="P3:P45" si="3">H3*O3</f>
        <v>-48320</v>
      </c>
      <c r="Q3" s="11">
        <v>0.0011</v>
      </c>
      <c r="R3" s="15"/>
      <c r="S3" s="22"/>
      <c r="T3" s="23"/>
      <c r="U3" s="23"/>
      <c r="V3" s="24"/>
      <c r="W3" s="25"/>
      <c r="X3" s="19"/>
      <c r="Y3" s="23"/>
      <c r="Z3" s="24"/>
      <c r="AA3" s="26"/>
      <c r="AB3" s="19"/>
      <c r="AC3" s="23"/>
    </row>
    <row r="4">
      <c r="A4" s="27">
        <f>(I46+I55+I88)/E129</f>
        <v>0.8696435048</v>
      </c>
      <c r="B4" s="27">
        <f>I46/E129</f>
        <v>0.7199201997</v>
      </c>
      <c r="C4" s="11">
        <f>I4/E129</f>
        <v>0</v>
      </c>
      <c r="D4" s="12" t="s">
        <v>32</v>
      </c>
      <c r="E4" s="12" t="s">
        <v>33</v>
      </c>
      <c r="F4" s="13">
        <v>7.9</v>
      </c>
      <c r="G4" s="28">
        <v>5000.0</v>
      </c>
      <c r="H4" s="15">
        <f t="shared" si="1"/>
        <v>421550</v>
      </c>
      <c r="I4" s="29">
        <v>0.0</v>
      </c>
      <c r="J4" s="16">
        <v>84.31</v>
      </c>
      <c r="K4" s="17">
        <f>IFERROR(__xludf.DUMMYFUNCTION("GOOGLEFINANCE(E4,""changepct"")"),-4.17)</f>
        <v>-4.17</v>
      </c>
      <c r="L4" s="18">
        <f>IFERROR(__xludf.DUMMYFUNCTION("googlefinance(E4,""price"")"),98.24)</f>
        <v>98.24</v>
      </c>
      <c r="M4" s="30">
        <v>91.5</v>
      </c>
      <c r="N4" s="20">
        <f t="shared" si="2"/>
        <v>13.93</v>
      </c>
      <c r="O4" s="21">
        <f t="shared" ref="O4:O5" si="4">M4/J4-1</f>
        <v>0.08528051239</v>
      </c>
      <c r="P4" s="15">
        <f t="shared" si="3"/>
        <v>35950</v>
      </c>
      <c r="Q4" s="31"/>
      <c r="R4" s="23"/>
      <c r="S4" s="32"/>
      <c r="T4" s="23"/>
      <c r="U4" s="23"/>
      <c r="V4" s="33" t="s">
        <v>34</v>
      </c>
      <c r="W4" s="34">
        <v>45714.0</v>
      </c>
      <c r="X4" s="30">
        <v>91.5</v>
      </c>
      <c r="Y4" s="35">
        <v>457500.0</v>
      </c>
      <c r="Z4" s="24"/>
      <c r="AA4" s="26"/>
      <c r="AB4" s="19"/>
      <c r="AC4" s="23"/>
    </row>
    <row r="5">
      <c r="A5" s="36"/>
      <c r="B5" s="26"/>
      <c r="C5" s="11">
        <f>I5/E129</f>
        <v>0</v>
      </c>
      <c r="D5" s="12" t="s">
        <v>32</v>
      </c>
      <c r="E5" s="12" t="s">
        <v>33</v>
      </c>
      <c r="F5" s="13">
        <v>7.9</v>
      </c>
      <c r="G5" s="28">
        <v>4000.0</v>
      </c>
      <c r="H5" s="15">
        <f t="shared" si="1"/>
        <v>337240</v>
      </c>
      <c r="I5" s="29">
        <v>0.0</v>
      </c>
      <c r="J5" s="16">
        <v>84.31</v>
      </c>
      <c r="K5" s="17">
        <f>IFERROR(__xludf.DUMMYFUNCTION("GOOGLEFINANCE(E5,""changepct"")"),-4.17)</f>
        <v>-4.17</v>
      </c>
      <c r="L5" s="18">
        <f>IFERROR(__xludf.DUMMYFUNCTION("googlefinance(E5,""price"")"),98.24)</f>
        <v>98.24</v>
      </c>
      <c r="M5" s="30">
        <v>89.9</v>
      </c>
      <c r="N5" s="20">
        <f t="shared" si="2"/>
        <v>13.93</v>
      </c>
      <c r="O5" s="21">
        <f t="shared" si="4"/>
        <v>0.06630292966</v>
      </c>
      <c r="P5" s="15">
        <f t="shared" si="3"/>
        <v>22360</v>
      </c>
      <c r="Q5" s="31"/>
      <c r="R5" s="23"/>
      <c r="S5" s="37"/>
      <c r="T5" s="29"/>
      <c r="U5" s="23"/>
      <c r="V5" s="33" t="s">
        <v>34</v>
      </c>
      <c r="W5" s="34">
        <v>45708.0</v>
      </c>
      <c r="X5" s="30">
        <v>89.9</v>
      </c>
      <c r="Y5" s="35">
        <v>359600.0</v>
      </c>
      <c r="Z5" s="24"/>
      <c r="AA5" s="25"/>
      <c r="AB5" s="19"/>
      <c r="AC5" s="23"/>
    </row>
    <row r="6">
      <c r="A6" s="36"/>
      <c r="B6" s="26"/>
      <c r="C6" s="11">
        <f>I6/E129</f>
        <v>0.06877954312</v>
      </c>
      <c r="D6" s="12" t="s">
        <v>35</v>
      </c>
      <c r="E6" s="12" t="s">
        <v>36</v>
      </c>
      <c r="F6" s="13">
        <v>8.5</v>
      </c>
      <c r="G6" s="28">
        <v>8000.0</v>
      </c>
      <c r="H6" s="15">
        <f t="shared" si="1"/>
        <v>3230720</v>
      </c>
      <c r="I6" s="15">
        <f t="shared" ref="I6:I15" si="5">H6+P6</f>
        <v>1886880</v>
      </c>
      <c r="J6" s="16">
        <v>403.84</v>
      </c>
      <c r="K6" s="17">
        <f>IFERROR(__xludf.DUMMYFUNCTION("GOOGLEFINANCE(E6,""changepct"")"),4.68)</f>
        <v>4.68</v>
      </c>
      <c r="L6" s="18">
        <f>IFERROR(__xludf.DUMMYFUNCTION("googlefinance(E6,""price"")"),235.86)</f>
        <v>235.86</v>
      </c>
      <c r="M6" s="19"/>
      <c r="N6" s="20">
        <f t="shared" si="2"/>
        <v>-167.98</v>
      </c>
      <c r="O6" s="21">
        <f t="shared" ref="O6:O15" si="6">L6/J6-1</f>
        <v>-0.4159568146</v>
      </c>
      <c r="P6" s="15">
        <f t="shared" si="3"/>
        <v>-1343840</v>
      </c>
      <c r="Q6" s="31"/>
      <c r="R6" s="23"/>
      <c r="S6" s="37"/>
      <c r="T6" s="29">
        <v>12700.0</v>
      </c>
      <c r="U6" s="23"/>
      <c r="V6" s="24"/>
      <c r="W6" s="25"/>
      <c r="X6" s="19"/>
      <c r="Y6" s="23"/>
      <c r="Z6" s="24"/>
      <c r="AA6" s="25"/>
      <c r="AB6" s="19"/>
      <c r="AC6" s="23"/>
    </row>
    <row r="7">
      <c r="A7" s="36"/>
      <c r="B7" s="26"/>
      <c r="C7" s="11">
        <f>I7/E129</f>
        <v>0.04298721445</v>
      </c>
      <c r="D7" s="38" t="s">
        <v>37</v>
      </c>
      <c r="E7" s="12" t="s">
        <v>36</v>
      </c>
      <c r="F7" s="13">
        <v>8.5</v>
      </c>
      <c r="G7" s="28">
        <v>5000.0</v>
      </c>
      <c r="H7" s="15">
        <f t="shared" si="1"/>
        <v>1137500</v>
      </c>
      <c r="I7" s="15">
        <f t="shared" si="5"/>
        <v>1179300</v>
      </c>
      <c r="J7" s="16">
        <v>227.5</v>
      </c>
      <c r="K7" s="17">
        <f>IFERROR(__xludf.DUMMYFUNCTION("GOOGLEFINANCE(E7,""changepct"")"),4.68)</f>
        <v>4.68</v>
      </c>
      <c r="L7" s="18">
        <f>IFERROR(__xludf.DUMMYFUNCTION("googlefinance(E7,""price"")"),235.86)</f>
        <v>235.86</v>
      </c>
      <c r="M7" s="19"/>
      <c r="N7" s="20">
        <f t="shared" si="2"/>
        <v>8.36</v>
      </c>
      <c r="O7" s="21">
        <f t="shared" si="6"/>
        <v>0.03674725275</v>
      </c>
      <c r="P7" s="15">
        <f t="shared" si="3"/>
        <v>41800</v>
      </c>
      <c r="Q7" s="31"/>
      <c r="R7" s="23"/>
      <c r="S7" s="22"/>
      <c r="T7" s="23"/>
      <c r="U7" s="23"/>
      <c r="V7" s="24"/>
      <c r="W7" s="25"/>
      <c r="X7" s="19"/>
      <c r="Y7" s="23"/>
      <c r="Z7" s="39" t="s">
        <v>36</v>
      </c>
      <c r="AA7" s="34">
        <v>45726.0</v>
      </c>
      <c r="AB7" s="30">
        <v>227.5</v>
      </c>
      <c r="AC7" s="35">
        <v>1137500.0</v>
      </c>
    </row>
    <row r="8">
      <c r="A8" s="36"/>
      <c r="B8" s="26"/>
      <c r="C8" s="11">
        <f>I8/E129</f>
        <v>0.01719488578</v>
      </c>
      <c r="D8" s="38" t="s">
        <v>37</v>
      </c>
      <c r="E8" s="12" t="s">
        <v>36</v>
      </c>
      <c r="F8" s="13">
        <v>8.5</v>
      </c>
      <c r="G8" s="28">
        <v>2000.0</v>
      </c>
      <c r="H8" s="15">
        <f t="shared" si="1"/>
        <v>686560</v>
      </c>
      <c r="I8" s="15">
        <f t="shared" si="5"/>
        <v>471720</v>
      </c>
      <c r="J8" s="16">
        <v>343.28</v>
      </c>
      <c r="K8" s="17">
        <f>IFERROR(__xludf.DUMMYFUNCTION("GOOGLEFINANCE(E8,""changepct"")"),4.68)</f>
        <v>4.68</v>
      </c>
      <c r="L8" s="18">
        <f>IFERROR(__xludf.DUMMYFUNCTION("googlefinance(E8,""price"")"),235.86)</f>
        <v>235.86</v>
      </c>
      <c r="M8" s="19"/>
      <c r="N8" s="20">
        <f t="shared" si="2"/>
        <v>-107.42</v>
      </c>
      <c r="O8" s="21">
        <f t="shared" si="6"/>
        <v>-0.3129223957</v>
      </c>
      <c r="P8" s="15">
        <f t="shared" si="3"/>
        <v>-214840</v>
      </c>
      <c r="Q8" s="31"/>
      <c r="R8" s="23"/>
      <c r="S8" s="22"/>
      <c r="T8" s="23"/>
      <c r="U8" s="23"/>
      <c r="V8" s="24"/>
      <c r="W8" s="25"/>
      <c r="X8" s="19"/>
      <c r="Y8" s="23"/>
      <c r="Z8" s="39" t="s">
        <v>36</v>
      </c>
      <c r="AA8" s="34">
        <v>45700.0</v>
      </c>
      <c r="AB8" s="30">
        <v>343.28</v>
      </c>
      <c r="AC8" s="35">
        <v>686560.0</v>
      </c>
    </row>
    <row r="9">
      <c r="A9" s="36"/>
      <c r="B9" s="26"/>
      <c r="C9" s="11">
        <f>I9/E129</f>
        <v>0.01719488578</v>
      </c>
      <c r="D9" s="38" t="s">
        <v>37</v>
      </c>
      <c r="E9" s="12" t="s">
        <v>36</v>
      </c>
      <c r="F9" s="13">
        <v>8.5</v>
      </c>
      <c r="G9" s="28">
        <v>2000.0</v>
      </c>
      <c r="H9" s="15">
        <f t="shared" si="1"/>
        <v>606000</v>
      </c>
      <c r="I9" s="15">
        <f t="shared" si="5"/>
        <v>471720</v>
      </c>
      <c r="J9" s="16">
        <v>303.0</v>
      </c>
      <c r="K9" s="17">
        <f>IFERROR(__xludf.DUMMYFUNCTION("GOOGLEFINANCE(E9,""changepct"")"),4.68)</f>
        <v>4.68</v>
      </c>
      <c r="L9" s="18">
        <f>IFERROR(__xludf.DUMMYFUNCTION("googlefinance(E9,""price"")"),235.86)</f>
        <v>235.86</v>
      </c>
      <c r="M9" s="19"/>
      <c r="N9" s="20">
        <f t="shared" si="2"/>
        <v>-67.14</v>
      </c>
      <c r="O9" s="21">
        <f t="shared" si="6"/>
        <v>-0.2215841584</v>
      </c>
      <c r="P9" s="15">
        <f t="shared" si="3"/>
        <v>-134280</v>
      </c>
      <c r="Q9" s="31"/>
      <c r="R9" s="23"/>
      <c r="S9" s="22"/>
      <c r="T9" s="23"/>
      <c r="U9" s="23"/>
      <c r="V9" s="24"/>
      <c r="W9" s="25"/>
      <c r="X9" s="19"/>
      <c r="Y9" s="23"/>
      <c r="Z9" s="39" t="s">
        <v>36</v>
      </c>
      <c r="AA9" s="34">
        <v>45713.0</v>
      </c>
      <c r="AB9" s="30">
        <v>303.0</v>
      </c>
      <c r="AC9" s="35">
        <v>606000.0</v>
      </c>
    </row>
    <row r="10">
      <c r="A10" s="36"/>
      <c r="B10" s="26"/>
      <c r="C10" s="11">
        <f>I10/E129</f>
        <v>0.09293374288</v>
      </c>
      <c r="D10" s="40" t="s">
        <v>38</v>
      </c>
      <c r="E10" s="40" t="s">
        <v>39</v>
      </c>
      <c r="F10" s="41">
        <v>8.4</v>
      </c>
      <c r="G10" s="28">
        <v>24000.0</v>
      </c>
      <c r="H10" s="15">
        <f t="shared" si="1"/>
        <v>2898960</v>
      </c>
      <c r="I10" s="15">
        <f t="shared" si="5"/>
        <v>2549520</v>
      </c>
      <c r="J10" s="16">
        <v>120.79</v>
      </c>
      <c r="K10" s="17">
        <f>IFERROR(__xludf.DUMMYFUNCTION("GOOGLEFINANCE(E10,""changepct"")"),2.63)</f>
        <v>2.63</v>
      </c>
      <c r="L10" s="18">
        <f>IFERROR(__xludf.DUMMYFUNCTION("googlefinance(E10,""price"")"),106.23)</f>
        <v>106.23</v>
      </c>
      <c r="M10" s="19"/>
      <c r="N10" s="20">
        <f t="shared" si="2"/>
        <v>-14.56</v>
      </c>
      <c r="O10" s="21">
        <f t="shared" si="6"/>
        <v>-0.1205397798</v>
      </c>
      <c r="P10" s="15">
        <f t="shared" si="3"/>
        <v>-349440</v>
      </c>
      <c r="Q10" s="31"/>
      <c r="R10" s="23"/>
      <c r="S10" s="22"/>
      <c r="T10" s="23"/>
      <c r="U10" s="23"/>
      <c r="V10" s="24"/>
      <c r="W10" s="25"/>
      <c r="X10" s="19"/>
      <c r="Y10" s="23"/>
      <c r="Z10" s="42"/>
      <c r="AA10" s="25"/>
      <c r="AB10" s="19"/>
      <c r="AC10" s="23"/>
    </row>
    <row r="11">
      <c r="A11" s="36"/>
      <c r="B11" s="26"/>
      <c r="C11" s="11">
        <f>I11/E129</f>
        <v>0.01161671786</v>
      </c>
      <c r="D11" s="43" t="s">
        <v>40</v>
      </c>
      <c r="E11" s="40" t="s">
        <v>39</v>
      </c>
      <c r="F11" s="41">
        <v>8.4</v>
      </c>
      <c r="G11" s="28">
        <v>3000.0</v>
      </c>
      <c r="H11" s="15">
        <f t="shared" si="1"/>
        <v>332100</v>
      </c>
      <c r="I11" s="15">
        <f t="shared" si="5"/>
        <v>318690</v>
      </c>
      <c r="J11" s="16">
        <v>110.7</v>
      </c>
      <c r="K11" s="17">
        <f>IFERROR(__xludf.DUMMYFUNCTION("GOOGLEFINANCE(E11,""changepct"")"),2.63)</f>
        <v>2.63</v>
      </c>
      <c r="L11" s="18">
        <f>IFERROR(__xludf.DUMMYFUNCTION("googlefinance(E11,""price"")"),106.23)</f>
        <v>106.23</v>
      </c>
      <c r="M11" s="19"/>
      <c r="N11" s="20">
        <f t="shared" si="2"/>
        <v>-4.47</v>
      </c>
      <c r="O11" s="21">
        <f t="shared" si="6"/>
        <v>-0.04037940379</v>
      </c>
      <c r="P11" s="15">
        <f t="shared" si="3"/>
        <v>-13410</v>
      </c>
      <c r="Q11" s="31"/>
      <c r="R11" s="23"/>
      <c r="S11" s="22"/>
      <c r="T11" s="23"/>
      <c r="U11" s="23"/>
      <c r="V11" s="24"/>
      <c r="W11" s="25"/>
      <c r="X11" s="19"/>
      <c r="Y11" s="23"/>
      <c r="Z11" s="39" t="s">
        <v>39</v>
      </c>
      <c r="AA11" s="34">
        <v>45700.0</v>
      </c>
      <c r="AB11" s="30">
        <v>110.7</v>
      </c>
      <c r="AC11" s="35">
        <v>332100.0</v>
      </c>
    </row>
    <row r="12">
      <c r="A12" s="36"/>
      <c r="B12" s="26"/>
      <c r="C12" s="11">
        <f>I12/E129</f>
        <v>0.007744478573</v>
      </c>
      <c r="D12" s="43" t="s">
        <v>40</v>
      </c>
      <c r="E12" s="40" t="s">
        <v>39</v>
      </c>
      <c r="F12" s="41">
        <v>8.4</v>
      </c>
      <c r="G12" s="28">
        <v>2000.0</v>
      </c>
      <c r="H12" s="15">
        <f t="shared" si="1"/>
        <v>233200</v>
      </c>
      <c r="I12" s="15">
        <f t="shared" si="5"/>
        <v>212460</v>
      </c>
      <c r="J12" s="16">
        <v>116.6</v>
      </c>
      <c r="K12" s="17">
        <f>IFERROR(__xludf.DUMMYFUNCTION("GOOGLEFINANCE(E12,""changepct"")"),2.63)</f>
        <v>2.63</v>
      </c>
      <c r="L12" s="18">
        <f>IFERROR(__xludf.DUMMYFUNCTION("googlefinance(E12,""price"")"),106.23)</f>
        <v>106.23</v>
      </c>
      <c r="M12" s="19"/>
      <c r="N12" s="20">
        <f t="shared" si="2"/>
        <v>-10.37</v>
      </c>
      <c r="O12" s="21">
        <f t="shared" si="6"/>
        <v>-0.08893653516</v>
      </c>
      <c r="P12" s="15">
        <f t="shared" si="3"/>
        <v>-20740</v>
      </c>
      <c r="Q12" s="31"/>
      <c r="R12" s="23"/>
      <c r="S12" s="22"/>
      <c r="T12" s="23"/>
      <c r="U12" s="23"/>
      <c r="V12" s="24"/>
      <c r="W12" s="25"/>
      <c r="X12" s="19"/>
      <c r="Y12" s="23"/>
      <c r="Z12" s="39" t="s">
        <v>39</v>
      </c>
      <c r="AA12" s="34">
        <v>45670.0</v>
      </c>
      <c r="AB12" s="30">
        <v>116.6</v>
      </c>
      <c r="AC12" s="35">
        <v>233200.0</v>
      </c>
    </row>
    <row r="13">
      <c r="A13" s="36"/>
      <c r="B13" s="26"/>
      <c r="C13" s="11">
        <f>I13/E129</f>
        <v>0.01425543952</v>
      </c>
      <c r="D13" s="40" t="s">
        <v>41</v>
      </c>
      <c r="E13" s="40" t="s">
        <v>42</v>
      </c>
      <c r="F13" s="41">
        <v>8.2</v>
      </c>
      <c r="G13" s="14">
        <v>2000.0</v>
      </c>
      <c r="H13" s="15">
        <f t="shared" si="1"/>
        <v>438780</v>
      </c>
      <c r="I13" s="15">
        <f t="shared" si="5"/>
        <v>391080</v>
      </c>
      <c r="J13" s="16">
        <v>219.39</v>
      </c>
      <c r="K13" s="17">
        <f>IFERROR(__xludf.DUMMYFUNCTION("GOOGLEFINANCE(E13,""changepct"")"),1.41)</f>
        <v>1.41</v>
      </c>
      <c r="L13" s="18">
        <f>IFERROR(__xludf.DUMMYFUNCTION("googlefinance(E13,""price"")"),195.54)</f>
        <v>195.54</v>
      </c>
      <c r="M13" s="19"/>
      <c r="N13" s="20">
        <f t="shared" si="2"/>
        <v>-23.85</v>
      </c>
      <c r="O13" s="21">
        <f t="shared" si="6"/>
        <v>-0.1087105155</v>
      </c>
      <c r="P13" s="15">
        <f t="shared" si="3"/>
        <v>-47700</v>
      </c>
      <c r="Q13" s="31"/>
      <c r="R13" s="23"/>
      <c r="S13" s="22"/>
      <c r="T13" s="23"/>
      <c r="U13" s="23"/>
      <c r="V13" s="24"/>
      <c r="W13" s="25"/>
      <c r="X13" s="19"/>
      <c r="Y13" s="23"/>
      <c r="Z13" s="42"/>
      <c r="AA13" s="25"/>
      <c r="AB13" s="19"/>
      <c r="AC13" s="23"/>
    </row>
    <row r="14">
      <c r="A14" s="36"/>
      <c r="B14" s="26"/>
      <c r="C14" s="11">
        <f>I14/E129</f>
        <v>0.01425543952</v>
      </c>
      <c r="D14" s="43" t="s">
        <v>43</v>
      </c>
      <c r="E14" s="40" t="s">
        <v>42</v>
      </c>
      <c r="F14" s="41">
        <v>8.2</v>
      </c>
      <c r="G14" s="28">
        <v>2000.0</v>
      </c>
      <c r="H14" s="15">
        <f t="shared" si="1"/>
        <v>429000</v>
      </c>
      <c r="I14" s="15">
        <f t="shared" si="5"/>
        <v>391080</v>
      </c>
      <c r="J14" s="16">
        <v>214.5</v>
      </c>
      <c r="K14" s="17">
        <f>IFERROR(__xludf.DUMMYFUNCTION("GOOGLEFINANCE(E14,""changepct"")"),1.41)</f>
        <v>1.41</v>
      </c>
      <c r="L14" s="18">
        <f>IFERROR(__xludf.DUMMYFUNCTION("googlefinance(E14,""price"")"),195.54)</f>
        <v>195.54</v>
      </c>
      <c r="M14" s="20"/>
      <c r="N14" s="20">
        <f t="shared" si="2"/>
        <v>-18.96</v>
      </c>
      <c r="O14" s="21">
        <f t="shared" si="6"/>
        <v>-0.08839160839</v>
      </c>
      <c r="P14" s="15">
        <f t="shared" si="3"/>
        <v>-37920</v>
      </c>
      <c r="Q14" s="31"/>
      <c r="R14" s="23"/>
      <c r="S14" s="44"/>
      <c r="T14" s="29"/>
      <c r="U14" s="23"/>
      <c r="V14" s="24"/>
      <c r="W14" s="25"/>
      <c r="X14" s="19"/>
      <c r="Y14" s="23"/>
      <c r="Z14" s="33" t="s">
        <v>42</v>
      </c>
      <c r="AA14" s="34">
        <v>45714.0</v>
      </c>
      <c r="AB14" s="30">
        <v>214.5</v>
      </c>
      <c r="AC14" s="35">
        <v>429000.0</v>
      </c>
    </row>
    <row r="15">
      <c r="A15" s="36"/>
      <c r="B15" s="26"/>
      <c r="C15" s="11">
        <f>I15/E129</f>
        <v>0.01569235633</v>
      </c>
      <c r="D15" s="43" t="s">
        <v>44</v>
      </c>
      <c r="E15" s="40" t="s">
        <v>45</v>
      </c>
      <c r="F15" s="41">
        <v>7.8</v>
      </c>
      <c r="G15" s="28">
        <v>5000.0</v>
      </c>
      <c r="H15" s="15">
        <f t="shared" si="1"/>
        <v>362500</v>
      </c>
      <c r="I15" s="15">
        <f t="shared" si="5"/>
        <v>430500</v>
      </c>
      <c r="J15" s="16">
        <v>72.5</v>
      </c>
      <c r="K15" s="17">
        <f>IFERROR(__xludf.DUMMYFUNCTION("GOOGLEFINANCE(E15,""changepct"")"),2.63)</f>
        <v>2.63</v>
      </c>
      <c r="L15" s="18">
        <f>IFERROR(__xludf.DUMMYFUNCTION("googlefinance(E15,""price"")"),86.1)</f>
        <v>86.1</v>
      </c>
      <c r="M15" s="20"/>
      <c r="N15" s="20">
        <f t="shared" si="2"/>
        <v>13.6</v>
      </c>
      <c r="O15" s="21">
        <f t="shared" si="6"/>
        <v>0.1875862069</v>
      </c>
      <c r="P15" s="15">
        <f t="shared" si="3"/>
        <v>68000</v>
      </c>
      <c r="Q15" s="31"/>
      <c r="R15" s="23"/>
      <c r="S15" s="44"/>
      <c r="T15" s="29">
        <v>-23000.0</v>
      </c>
      <c r="U15" s="23"/>
      <c r="V15" s="24"/>
      <c r="W15" s="25"/>
      <c r="X15" s="19"/>
      <c r="Y15" s="23"/>
      <c r="Z15" s="24"/>
      <c r="AA15" s="25"/>
      <c r="AB15" s="19"/>
      <c r="AC15" s="23"/>
    </row>
    <row r="16">
      <c r="A16" s="36"/>
      <c r="B16" s="26"/>
      <c r="C16" s="11">
        <f>I16/E129</f>
        <v>0</v>
      </c>
      <c r="D16" s="43" t="s">
        <v>46</v>
      </c>
      <c r="E16" s="40" t="s">
        <v>45</v>
      </c>
      <c r="F16" s="41">
        <v>7.8</v>
      </c>
      <c r="G16" s="28">
        <v>5000.0</v>
      </c>
      <c r="H16" s="15">
        <f t="shared" si="1"/>
        <v>362500</v>
      </c>
      <c r="I16" s="29">
        <v>0.0</v>
      </c>
      <c r="J16" s="16">
        <v>72.5</v>
      </c>
      <c r="K16" s="17">
        <f>IFERROR(__xludf.DUMMYFUNCTION("GOOGLEFINANCE(E16,""changepct"")"),2.63)</f>
        <v>2.63</v>
      </c>
      <c r="L16" s="18">
        <f>IFERROR(__xludf.DUMMYFUNCTION("googlefinance(E16,""price"")"),86.1)</f>
        <v>86.1</v>
      </c>
      <c r="M16" s="30">
        <v>99.5</v>
      </c>
      <c r="N16" s="20">
        <f t="shared" si="2"/>
        <v>13.6</v>
      </c>
      <c r="O16" s="21">
        <f t="shared" ref="O16:O17" si="7">M16/J16-1</f>
        <v>0.3724137931</v>
      </c>
      <c r="P16" s="15">
        <f t="shared" si="3"/>
        <v>135000</v>
      </c>
      <c r="Q16" s="11"/>
      <c r="R16" s="15"/>
      <c r="S16" s="30"/>
      <c r="T16" s="35"/>
      <c r="U16" s="23"/>
      <c r="V16" s="33" t="s">
        <v>45</v>
      </c>
      <c r="W16" s="34">
        <v>45692.0</v>
      </c>
      <c r="X16" s="30">
        <v>99.5</v>
      </c>
      <c r="Y16" s="35">
        <v>497500.0</v>
      </c>
      <c r="Z16" s="33"/>
      <c r="AA16" s="34"/>
      <c r="AB16" s="30"/>
      <c r="AC16" s="35"/>
    </row>
    <row r="17">
      <c r="A17" s="36"/>
      <c r="B17" s="26"/>
      <c r="C17" s="11">
        <f>I17/E129</f>
        <v>0</v>
      </c>
      <c r="D17" s="43" t="s">
        <v>46</v>
      </c>
      <c r="E17" s="40" t="s">
        <v>45</v>
      </c>
      <c r="F17" s="41">
        <v>7.8</v>
      </c>
      <c r="G17" s="28">
        <v>5000.0</v>
      </c>
      <c r="H17" s="15">
        <f t="shared" si="1"/>
        <v>334500</v>
      </c>
      <c r="I17" s="29">
        <v>0.0</v>
      </c>
      <c r="J17" s="16">
        <v>66.9</v>
      </c>
      <c r="K17" s="17">
        <f>IFERROR(__xludf.DUMMYFUNCTION("GOOGLEFINANCE(E17,""changepct"")"),2.63)</f>
        <v>2.63</v>
      </c>
      <c r="L17" s="18">
        <f>IFERROR(__xludf.DUMMYFUNCTION("googlefinance(E17,""price"")"),86.1)</f>
        <v>86.1</v>
      </c>
      <c r="M17" s="30">
        <v>80.0</v>
      </c>
      <c r="N17" s="20">
        <f t="shared" si="2"/>
        <v>19.2</v>
      </c>
      <c r="O17" s="21">
        <f t="shared" si="7"/>
        <v>0.1958146487</v>
      </c>
      <c r="P17" s="15">
        <f t="shared" si="3"/>
        <v>65500</v>
      </c>
      <c r="Q17" s="11"/>
      <c r="R17" s="15"/>
      <c r="S17" s="30" t="s">
        <v>47</v>
      </c>
      <c r="T17" s="35">
        <v>27000.0</v>
      </c>
      <c r="U17" s="23"/>
      <c r="V17" s="33" t="s">
        <v>45</v>
      </c>
      <c r="W17" s="34">
        <v>45712.0</v>
      </c>
      <c r="X17" s="30">
        <v>80.0</v>
      </c>
      <c r="Y17" s="35">
        <v>400000.0</v>
      </c>
      <c r="Z17" s="33" t="s">
        <v>45</v>
      </c>
      <c r="AA17" s="34">
        <v>45667.0</v>
      </c>
      <c r="AB17" s="30">
        <v>66.9</v>
      </c>
      <c r="AC17" s="35">
        <v>334500.0</v>
      </c>
    </row>
    <row r="18">
      <c r="A18" s="36"/>
      <c r="B18" s="26"/>
      <c r="C18" s="11">
        <f>I18/E129</f>
        <v>0.02570265806</v>
      </c>
      <c r="D18" s="40" t="s">
        <v>48</v>
      </c>
      <c r="E18" s="40" t="s">
        <v>49</v>
      </c>
      <c r="F18" s="41">
        <v>8.0</v>
      </c>
      <c r="G18" s="14">
        <v>6000.0</v>
      </c>
      <c r="H18" s="15">
        <f t="shared" si="1"/>
        <v>805740</v>
      </c>
      <c r="I18" s="15">
        <f t="shared" ref="I18:I31" si="8">H18+P18</f>
        <v>705120</v>
      </c>
      <c r="J18" s="16">
        <v>134.29</v>
      </c>
      <c r="K18" s="17">
        <f>IFERROR(__xludf.DUMMYFUNCTION("GOOGLEFINANCE(E18,""changepct"")"),1.81)</f>
        <v>1.81</v>
      </c>
      <c r="L18" s="18">
        <f>IFERROR(__xludf.DUMMYFUNCTION("googlefinance(E18,""price"")"),117.52)</f>
        <v>117.52</v>
      </c>
      <c r="M18" s="19"/>
      <c r="N18" s="20">
        <f t="shared" si="2"/>
        <v>-16.77</v>
      </c>
      <c r="O18" s="21">
        <f t="shared" ref="O18:O31" si="9">L18/J18-1</f>
        <v>-0.1248789932</v>
      </c>
      <c r="P18" s="15">
        <f t="shared" si="3"/>
        <v>-100620</v>
      </c>
      <c r="Q18" s="11">
        <v>3.0E-4</v>
      </c>
      <c r="R18" s="15"/>
      <c r="S18" s="19"/>
      <c r="T18" s="23"/>
      <c r="U18" s="23"/>
      <c r="V18" s="24"/>
      <c r="W18" s="25"/>
      <c r="X18" s="19"/>
      <c r="Y18" s="23"/>
      <c r="Z18" s="24"/>
      <c r="AA18" s="25"/>
      <c r="AB18" s="19"/>
      <c r="AC18" s="23"/>
    </row>
    <row r="19">
      <c r="A19" s="36"/>
      <c r="B19" s="26"/>
      <c r="C19" s="11">
        <f>I19/E129</f>
        <v>0.01285132903</v>
      </c>
      <c r="D19" s="43" t="s">
        <v>50</v>
      </c>
      <c r="E19" s="40" t="s">
        <v>49</v>
      </c>
      <c r="F19" s="41">
        <v>8.0</v>
      </c>
      <c r="G19" s="28">
        <v>3000.0</v>
      </c>
      <c r="H19" s="15">
        <f t="shared" si="1"/>
        <v>396150</v>
      </c>
      <c r="I19" s="15">
        <f t="shared" si="8"/>
        <v>352560</v>
      </c>
      <c r="J19" s="16">
        <v>132.05</v>
      </c>
      <c r="K19" s="17">
        <f>IFERROR(__xludf.DUMMYFUNCTION("GOOGLEFINANCE(E19,""changepct"")"),1.81)</f>
        <v>1.81</v>
      </c>
      <c r="L19" s="18">
        <f>IFERROR(__xludf.DUMMYFUNCTION("googlefinance(E19,""price"")"),117.52)</f>
        <v>117.52</v>
      </c>
      <c r="M19" s="19"/>
      <c r="N19" s="20">
        <f t="shared" si="2"/>
        <v>-14.53</v>
      </c>
      <c r="O19" s="21">
        <f t="shared" si="9"/>
        <v>-0.110034078</v>
      </c>
      <c r="P19" s="15">
        <f t="shared" si="3"/>
        <v>-43590</v>
      </c>
      <c r="Q19" s="11"/>
      <c r="R19" s="15"/>
      <c r="S19" s="19"/>
      <c r="T19" s="23"/>
      <c r="U19" s="23"/>
      <c r="V19" s="24"/>
      <c r="W19" s="25"/>
      <c r="X19" s="19"/>
      <c r="Y19" s="23"/>
      <c r="Z19" s="33" t="s">
        <v>51</v>
      </c>
      <c r="AA19" s="34">
        <v>45712.0</v>
      </c>
      <c r="AB19" s="30">
        <v>132.05</v>
      </c>
      <c r="AC19" s="35">
        <v>396150.0</v>
      </c>
    </row>
    <row r="20">
      <c r="A20" s="36"/>
      <c r="B20" s="26"/>
      <c r="C20" s="11">
        <f>I20/E129</f>
        <v>0.01285132903</v>
      </c>
      <c r="D20" s="43" t="s">
        <v>50</v>
      </c>
      <c r="E20" s="40" t="s">
        <v>49</v>
      </c>
      <c r="F20" s="41">
        <v>8.0</v>
      </c>
      <c r="G20" s="28">
        <v>3000.0</v>
      </c>
      <c r="H20" s="15">
        <f t="shared" si="1"/>
        <v>363240</v>
      </c>
      <c r="I20" s="15">
        <f t="shared" si="8"/>
        <v>352560</v>
      </c>
      <c r="J20" s="16">
        <v>121.08</v>
      </c>
      <c r="K20" s="17">
        <f>IFERROR(__xludf.DUMMYFUNCTION("GOOGLEFINANCE(E20,""changepct"")"),1.81)</f>
        <v>1.81</v>
      </c>
      <c r="L20" s="18">
        <f>IFERROR(__xludf.DUMMYFUNCTION("googlefinance(E20,""price"")"),117.52)</f>
        <v>117.52</v>
      </c>
      <c r="M20" s="19"/>
      <c r="N20" s="20">
        <f t="shared" si="2"/>
        <v>-3.56</v>
      </c>
      <c r="O20" s="21">
        <f t="shared" si="9"/>
        <v>-0.02940204823</v>
      </c>
      <c r="P20" s="15">
        <f t="shared" si="3"/>
        <v>-10680</v>
      </c>
      <c r="Q20" s="11"/>
      <c r="R20" s="15"/>
      <c r="S20" s="19"/>
      <c r="T20" s="23"/>
      <c r="U20" s="23"/>
      <c r="V20" s="24"/>
      <c r="W20" s="25"/>
      <c r="X20" s="19"/>
      <c r="Y20" s="23"/>
      <c r="Z20" s="33" t="s">
        <v>51</v>
      </c>
      <c r="AA20" s="34">
        <v>45685.0</v>
      </c>
      <c r="AB20" s="30">
        <v>121.08</v>
      </c>
      <c r="AC20" s="35">
        <v>363240.0</v>
      </c>
    </row>
    <row r="21">
      <c r="A21" s="36"/>
      <c r="B21" s="26"/>
      <c r="C21" s="11">
        <f>I21/E129</f>
        <v>0.008567552687</v>
      </c>
      <c r="D21" s="43" t="s">
        <v>50</v>
      </c>
      <c r="E21" s="40" t="s">
        <v>49</v>
      </c>
      <c r="F21" s="41">
        <v>8.0</v>
      </c>
      <c r="G21" s="28">
        <v>2000.0</v>
      </c>
      <c r="H21" s="15">
        <f t="shared" si="1"/>
        <v>264200</v>
      </c>
      <c r="I21" s="15">
        <f t="shared" si="8"/>
        <v>235040</v>
      </c>
      <c r="J21" s="16">
        <v>132.1</v>
      </c>
      <c r="K21" s="17">
        <f>IFERROR(__xludf.DUMMYFUNCTION("GOOGLEFINANCE(E21,""changepct"")"),1.81)</f>
        <v>1.81</v>
      </c>
      <c r="L21" s="18">
        <f>IFERROR(__xludf.DUMMYFUNCTION("googlefinance(E21,""price"")"),117.52)</f>
        <v>117.52</v>
      </c>
      <c r="M21" s="19"/>
      <c r="N21" s="20">
        <f t="shared" si="2"/>
        <v>-14.58</v>
      </c>
      <c r="O21" s="21">
        <f t="shared" si="9"/>
        <v>-0.1103709311</v>
      </c>
      <c r="P21" s="15">
        <f t="shared" si="3"/>
        <v>-29160</v>
      </c>
      <c r="Q21" s="11"/>
      <c r="R21" s="15"/>
      <c r="S21" s="19"/>
      <c r="T21" s="23"/>
      <c r="U21" s="23"/>
      <c r="V21" s="24"/>
      <c r="W21" s="25"/>
      <c r="X21" s="19"/>
      <c r="Y21" s="23"/>
      <c r="Z21" s="33" t="s">
        <v>51</v>
      </c>
      <c r="AA21" s="34">
        <v>45670.0</v>
      </c>
      <c r="AB21" s="30">
        <v>132.1</v>
      </c>
      <c r="AC21" s="35">
        <v>264200.0</v>
      </c>
    </row>
    <row r="22">
      <c r="A22" s="36"/>
      <c r="B22" s="26"/>
      <c r="C22" s="11">
        <f>I22/E129</f>
        <v>0.02544676877</v>
      </c>
      <c r="D22" s="43" t="s">
        <v>52</v>
      </c>
      <c r="E22" s="43" t="s">
        <v>53</v>
      </c>
      <c r="F22" s="41">
        <v>8.1</v>
      </c>
      <c r="G22" s="28">
        <v>10000.0</v>
      </c>
      <c r="H22" s="15">
        <f t="shared" si="1"/>
        <v>738500</v>
      </c>
      <c r="I22" s="15">
        <f t="shared" si="8"/>
        <v>698100</v>
      </c>
      <c r="J22" s="16">
        <v>73.85</v>
      </c>
      <c r="K22" s="17">
        <f>IFERROR(__xludf.DUMMYFUNCTION("GOOGLEFINANCE(E22,""changepct"")"),2.24)</f>
        <v>2.24</v>
      </c>
      <c r="L22" s="18">
        <f>IFERROR(__xludf.DUMMYFUNCTION("googlefinance(E22,""price"")"),69.81)</f>
        <v>69.81</v>
      </c>
      <c r="M22" s="19"/>
      <c r="N22" s="20">
        <f t="shared" si="2"/>
        <v>-4.04</v>
      </c>
      <c r="O22" s="21">
        <f t="shared" si="9"/>
        <v>-0.05470548409</v>
      </c>
      <c r="P22" s="15">
        <f t="shared" si="3"/>
        <v>-40400</v>
      </c>
      <c r="Q22" s="11"/>
      <c r="R22" s="15"/>
      <c r="S22" s="19"/>
      <c r="T22" s="23"/>
      <c r="U22" s="23"/>
      <c r="V22" s="24"/>
      <c r="W22" s="25"/>
      <c r="X22" s="19"/>
      <c r="Y22" s="23"/>
      <c r="Z22" s="33" t="s">
        <v>53</v>
      </c>
      <c r="AA22" s="34">
        <v>45722.0</v>
      </c>
      <c r="AB22" s="30">
        <v>73.85</v>
      </c>
      <c r="AC22" s="35">
        <v>738500.0</v>
      </c>
    </row>
    <row r="23">
      <c r="A23" s="36"/>
      <c r="B23" s="26"/>
      <c r="C23" s="11">
        <f>I23/E129</f>
        <v>0.03207965987</v>
      </c>
      <c r="D23" s="43" t="s">
        <v>54</v>
      </c>
      <c r="E23" s="43" t="s">
        <v>55</v>
      </c>
      <c r="F23" s="41">
        <v>8.1</v>
      </c>
      <c r="G23" s="28">
        <v>4500.0</v>
      </c>
      <c r="H23" s="15">
        <f t="shared" si="1"/>
        <v>820800</v>
      </c>
      <c r="I23" s="15">
        <f t="shared" si="8"/>
        <v>880065</v>
      </c>
      <c r="J23" s="16">
        <v>182.4</v>
      </c>
      <c r="K23" s="17">
        <f>IFERROR(__xludf.DUMMYFUNCTION("GOOGLEFINANCE(E23,""changepct"")"),3.66)</f>
        <v>3.66</v>
      </c>
      <c r="L23" s="18">
        <f>IFERROR(__xludf.DUMMYFUNCTION("googlefinance(E23,""price"")"),195.57)</f>
        <v>195.57</v>
      </c>
      <c r="M23" s="19"/>
      <c r="N23" s="20">
        <f t="shared" si="2"/>
        <v>13.17</v>
      </c>
      <c r="O23" s="21">
        <f t="shared" si="9"/>
        <v>0.07220394737</v>
      </c>
      <c r="P23" s="15">
        <f t="shared" si="3"/>
        <v>59265</v>
      </c>
      <c r="Q23" s="11"/>
      <c r="R23" s="15"/>
      <c r="S23" s="19"/>
      <c r="T23" s="23"/>
      <c r="U23" s="23"/>
      <c r="V23" s="24"/>
      <c r="W23" s="25"/>
      <c r="X23" s="19"/>
      <c r="Y23" s="23"/>
      <c r="Z23" s="33" t="s">
        <v>55</v>
      </c>
      <c r="AA23" s="34">
        <v>45722.0</v>
      </c>
      <c r="AB23" s="30">
        <v>182.4</v>
      </c>
      <c r="AC23" s="35">
        <v>820800.0</v>
      </c>
    </row>
    <row r="24">
      <c r="A24" s="36"/>
      <c r="B24" s="26"/>
      <c r="C24" s="11">
        <f>I24/E129</f>
        <v>0.01069321996</v>
      </c>
      <c r="D24" s="43" t="s">
        <v>56</v>
      </c>
      <c r="E24" s="43" t="s">
        <v>55</v>
      </c>
      <c r="F24" s="41">
        <v>8.1</v>
      </c>
      <c r="G24" s="28">
        <v>1500.0</v>
      </c>
      <c r="H24" s="15">
        <f t="shared" si="1"/>
        <v>309675</v>
      </c>
      <c r="I24" s="15">
        <f t="shared" si="8"/>
        <v>293355</v>
      </c>
      <c r="J24" s="16">
        <v>206.45</v>
      </c>
      <c r="K24" s="17">
        <f>IFERROR(__xludf.DUMMYFUNCTION("GOOGLEFINANCE(E24,""changepct"")"),3.66)</f>
        <v>3.66</v>
      </c>
      <c r="L24" s="18">
        <f>IFERROR(__xludf.DUMMYFUNCTION("googlefinance(E24,""price"")"),195.57)</f>
        <v>195.57</v>
      </c>
      <c r="M24" s="19"/>
      <c r="N24" s="20">
        <f t="shared" si="2"/>
        <v>-10.88</v>
      </c>
      <c r="O24" s="21">
        <f t="shared" si="9"/>
        <v>-0.05270041172</v>
      </c>
      <c r="P24" s="15">
        <f t="shared" si="3"/>
        <v>-16320</v>
      </c>
      <c r="Q24" s="11"/>
      <c r="R24" s="15"/>
      <c r="S24" s="19"/>
      <c r="T24" s="23"/>
      <c r="U24" s="23"/>
      <c r="V24" s="24"/>
      <c r="W24" s="25"/>
      <c r="X24" s="19"/>
      <c r="Y24" s="23"/>
      <c r="Z24" s="33" t="s">
        <v>55</v>
      </c>
      <c r="AA24" s="34">
        <v>45685.0</v>
      </c>
      <c r="AB24" s="30">
        <v>206.45</v>
      </c>
      <c r="AC24" s="35">
        <v>309675.0</v>
      </c>
    </row>
    <row r="25">
      <c r="A25" s="36"/>
      <c r="B25" s="26"/>
      <c r="C25" s="11">
        <f>I25/E129</f>
        <v>0.01064492176</v>
      </c>
      <c r="D25" s="40" t="s">
        <v>57</v>
      </c>
      <c r="E25" s="40" t="s">
        <v>58</v>
      </c>
      <c r="F25" s="41">
        <v>8.2</v>
      </c>
      <c r="G25" s="14">
        <v>500.0</v>
      </c>
      <c r="H25" s="15">
        <f t="shared" si="1"/>
        <v>292755</v>
      </c>
      <c r="I25" s="15">
        <f t="shared" si="8"/>
        <v>292030</v>
      </c>
      <c r="J25" s="16">
        <v>585.51</v>
      </c>
      <c r="K25" s="17">
        <f>IFERROR(__xludf.DUMMYFUNCTION("GOOGLEFINANCE(E25,""changepct"")"),0.29)</f>
        <v>0.29</v>
      </c>
      <c r="L25" s="18">
        <f>IFERROR(__xludf.DUMMYFUNCTION("googlefinance(E25,""price"")"),584.06)</f>
        <v>584.06</v>
      </c>
      <c r="M25" s="30"/>
      <c r="N25" s="20">
        <f t="shared" si="2"/>
        <v>-1.45</v>
      </c>
      <c r="O25" s="21">
        <f t="shared" si="9"/>
        <v>-0.002476473502</v>
      </c>
      <c r="P25" s="15">
        <f t="shared" si="3"/>
        <v>-725</v>
      </c>
      <c r="Q25" s="11">
        <v>0.0035</v>
      </c>
      <c r="R25" s="15"/>
      <c r="S25" s="30"/>
      <c r="T25" s="35">
        <v>3650.0</v>
      </c>
      <c r="U25" s="23"/>
      <c r="V25" s="24"/>
      <c r="W25" s="25"/>
      <c r="X25" s="19"/>
      <c r="Y25" s="23"/>
      <c r="Z25" s="24"/>
      <c r="AA25" s="25"/>
      <c r="AB25" s="19"/>
      <c r="AC25" s="23"/>
    </row>
    <row r="26">
      <c r="A26" s="36"/>
      <c r="B26" s="26"/>
      <c r="C26" s="11">
        <f>I26/E129</f>
        <v>0.03598488773</v>
      </c>
      <c r="D26" s="40" t="s">
        <v>59</v>
      </c>
      <c r="E26" s="40" t="s">
        <v>60</v>
      </c>
      <c r="F26" s="41">
        <v>8.4</v>
      </c>
      <c r="G26" s="28">
        <v>10000.0</v>
      </c>
      <c r="H26" s="15">
        <f t="shared" si="1"/>
        <v>1152400</v>
      </c>
      <c r="I26" s="15">
        <f t="shared" si="8"/>
        <v>987200</v>
      </c>
      <c r="J26" s="16">
        <v>115.24</v>
      </c>
      <c r="K26" s="17">
        <f>IFERROR(__xludf.DUMMYFUNCTION("GOOGLEFINANCE(E26,""changepct"")"),2.36)</f>
        <v>2.36</v>
      </c>
      <c r="L26" s="18">
        <f>IFERROR(__xludf.DUMMYFUNCTION("googlefinance(E26,""price"")"),98.72)</f>
        <v>98.72</v>
      </c>
      <c r="M26" s="19"/>
      <c r="N26" s="20">
        <f t="shared" si="2"/>
        <v>-16.52</v>
      </c>
      <c r="O26" s="21">
        <f t="shared" si="9"/>
        <v>-0.1433530024</v>
      </c>
      <c r="P26" s="15">
        <f t="shared" si="3"/>
        <v>-165200</v>
      </c>
      <c r="Q26" s="11">
        <v>0.015</v>
      </c>
      <c r="R26" s="15"/>
      <c r="S26" s="19"/>
      <c r="T26" s="23"/>
      <c r="U26" s="23"/>
      <c r="V26" s="24"/>
      <c r="W26" s="25"/>
      <c r="X26" s="19"/>
      <c r="Y26" s="23"/>
      <c r="Z26" s="24"/>
      <c r="AA26" s="25"/>
      <c r="AB26" s="19"/>
      <c r="AC26" s="23"/>
    </row>
    <row r="27">
      <c r="A27" s="36"/>
      <c r="B27" s="26"/>
      <c r="C27" s="11">
        <f>I27/E129</f>
        <v>0.01079546632</v>
      </c>
      <c r="D27" s="43" t="s">
        <v>61</v>
      </c>
      <c r="E27" s="40" t="s">
        <v>60</v>
      </c>
      <c r="F27" s="41">
        <v>8.4</v>
      </c>
      <c r="G27" s="28">
        <v>3000.0</v>
      </c>
      <c r="H27" s="15">
        <f t="shared" si="1"/>
        <v>313200</v>
      </c>
      <c r="I27" s="15">
        <f t="shared" si="8"/>
        <v>296160</v>
      </c>
      <c r="J27" s="16">
        <v>104.4</v>
      </c>
      <c r="K27" s="17">
        <f>IFERROR(__xludf.DUMMYFUNCTION("GOOGLEFINANCE(E27,""changepct"")"),2.36)</f>
        <v>2.36</v>
      </c>
      <c r="L27" s="18">
        <f>IFERROR(__xludf.DUMMYFUNCTION("googlefinance(E27,""price"")"),98.72)</f>
        <v>98.72</v>
      </c>
      <c r="M27" s="20"/>
      <c r="N27" s="20">
        <f t="shared" si="2"/>
        <v>-5.68</v>
      </c>
      <c r="O27" s="21">
        <f t="shared" si="9"/>
        <v>-0.05440613027</v>
      </c>
      <c r="P27" s="15">
        <f t="shared" si="3"/>
        <v>-17040</v>
      </c>
      <c r="Q27" s="11"/>
      <c r="R27" s="23"/>
      <c r="S27" s="19"/>
      <c r="T27" s="23"/>
      <c r="U27" s="23"/>
      <c r="V27" s="12"/>
      <c r="W27" s="45"/>
      <c r="X27" s="20"/>
      <c r="Y27" s="15"/>
      <c r="Z27" s="33" t="s">
        <v>60</v>
      </c>
      <c r="AA27" s="34">
        <v>45685.0</v>
      </c>
      <c r="AB27" s="30">
        <v>104.4</v>
      </c>
      <c r="AC27" s="35">
        <v>313200.0</v>
      </c>
    </row>
    <row r="28">
      <c r="A28" s="36"/>
      <c r="B28" s="26"/>
      <c r="C28" s="11">
        <f>I28/E129</f>
        <v>0.01439395509</v>
      </c>
      <c r="D28" s="43" t="s">
        <v>61</v>
      </c>
      <c r="E28" s="40" t="s">
        <v>60</v>
      </c>
      <c r="F28" s="41">
        <v>8.4</v>
      </c>
      <c r="G28" s="28">
        <v>4000.0</v>
      </c>
      <c r="H28" s="15">
        <f t="shared" si="1"/>
        <v>444720</v>
      </c>
      <c r="I28" s="15">
        <f t="shared" si="8"/>
        <v>394880</v>
      </c>
      <c r="J28" s="16">
        <v>111.18</v>
      </c>
      <c r="K28" s="17">
        <f>IFERROR(__xludf.DUMMYFUNCTION("GOOGLEFINANCE(E28,""changepct"")"),2.36)</f>
        <v>2.36</v>
      </c>
      <c r="L28" s="18">
        <f>IFERROR(__xludf.DUMMYFUNCTION("googlefinance(E28,""price"")"),98.72)</f>
        <v>98.72</v>
      </c>
      <c r="M28" s="20"/>
      <c r="N28" s="20">
        <f t="shared" si="2"/>
        <v>-12.46</v>
      </c>
      <c r="O28" s="21">
        <f t="shared" si="9"/>
        <v>-0.1120705163</v>
      </c>
      <c r="P28" s="15">
        <f t="shared" si="3"/>
        <v>-49840</v>
      </c>
      <c r="Q28" s="11"/>
      <c r="R28" s="23"/>
      <c r="S28" s="19"/>
      <c r="T28" s="23"/>
      <c r="U28" s="23"/>
      <c r="V28" s="12"/>
      <c r="W28" s="45"/>
      <c r="X28" s="20"/>
      <c r="Y28" s="15"/>
      <c r="Z28" s="33" t="s">
        <v>60</v>
      </c>
      <c r="AA28" s="34">
        <v>45712.0</v>
      </c>
      <c r="AB28" s="30">
        <v>111.18</v>
      </c>
      <c r="AC28" s="35">
        <v>444720.0</v>
      </c>
    </row>
    <row r="29">
      <c r="A29" s="36"/>
      <c r="B29" s="26"/>
      <c r="C29" s="11">
        <f>I29/E129</f>
        <v>0.007196977546</v>
      </c>
      <c r="D29" s="43" t="s">
        <v>61</v>
      </c>
      <c r="E29" s="40" t="s">
        <v>60</v>
      </c>
      <c r="F29" s="41">
        <v>8.4</v>
      </c>
      <c r="G29" s="28">
        <v>2000.0</v>
      </c>
      <c r="H29" s="15">
        <f t="shared" si="1"/>
        <v>219200</v>
      </c>
      <c r="I29" s="15">
        <f t="shared" si="8"/>
        <v>197440</v>
      </c>
      <c r="J29" s="16">
        <v>109.6</v>
      </c>
      <c r="K29" s="17">
        <f>IFERROR(__xludf.DUMMYFUNCTION("GOOGLEFINANCE(E29,""changepct"")"),2.36)</f>
        <v>2.36</v>
      </c>
      <c r="L29" s="18">
        <f>IFERROR(__xludf.DUMMYFUNCTION("googlefinance(E29,""price"")"),98.72)</f>
        <v>98.72</v>
      </c>
      <c r="M29" s="20"/>
      <c r="N29" s="20">
        <f t="shared" si="2"/>
        <v>-10.88</v>
      </c>
      <c r="O29" s="21">
        <f t="shared" si="9"/>
        <v>-0.09927007299</v>
      </c>
      <c r="P29" s="15">
        <f t="shared" si="3"/>
        <v>-21760</v>
      </c>
      <c r="Q29" s="11"/>
      <c r="R29" s="23"/>
      <c r="S29" s="19"/>
      <c r="T29" s="23"/>
      <c r="U29" s="23"/>
      <c r="V29" s="12"/>
      <c r="W29" s="45"/>
      <c r="X29" s="20"/>
      <c r="Y29" s="15"/>
      <c r="Z29" s="33" t="s">
        <v>60</v>
      </c>
      <c r="AA29" s="34">
        <v>45670.0</v>
      </c>
      <c r="AB29" s="30">
        <v>109.6</v>
      </c>
      <c r="AC29" s="35">
        <v>219200.0</v>
      </c>
    </row>
    <row r="30">
      <c r="A30" s="36"/>
      <c r="B30" s="26"/>
      <c r="C30" s="11">
        <f>I30/E129</f>
        <v>0.02851569063</v>
      </c>
      <c r="D30" s="43" t="s">
        <v>62</v>
      </c>
      <c r="E30" s="43" t="s">
        <v>63</v>
      </c>
      <c r="F30" s="41">
        <v>8.3</v>
      </c>
      <c r="G30" s="28">
        <v>2800.0</v>
      </c>
      <c r="H30" s="15">
        <f t="shared" si="1"/>
        <v>936124</v>
      </c>
      <c r="I30" s="15">
        <f t="shared" si="8"/>
        <v>782292</v>
      </c>
      <c r="J30" s="16">
        <v>334.33</v>
      </c>
      <c r="K30" s="17">
        <f>IFERROR(__xludf.DUMMYFUNCTION("GOOGLEFINANCE(E30,""changepct"")"),0.24)</f>
        <v>0.24</v>
      </c>
      <c r="L30" s="18">
        <f>IFERROR(__xludf.DUMMYFUNCTION("googlefinance(E30,""price"")"),279.39)</f>
        <v>279.39</v>
      </c>
      <c r="M30" s="20"/>
      <c r="N30" s="20">
        <f t="shared" si="2"/>
        <v>-54.94</v>
      </c>
      <c r="O30" s="21">
        <f t="shared" si="9"/>
        <v>-0.1643286573</v>
      </c>
      <c r="P30" s="15">
        <f t="shared" si="3"/>
        <v>-153832</v>
      </c>
      <c r="Q30" s="11">
        <v>0.0043</v>
      </c>
      <c r="R30" s="23"/>
      <c r="S30" s="19"/>
      <c r="T30" s="23"/>
      <c r="U30" s="23"/>
      <c r="V30" s="12"/>
      <c r="W30" s="45"/>
      <c r="X30" s="20"/>
      <c r="Y30" s="15"/>
      <c r="Z30" s="24"/>
      <c r="AA30" s="25"/>
      <c r="AB30" s="19"/>
      <c r="AC30" s="23"/>
    </row>
    <row r="31">
      <c r="A31" s="36"/>
      <c r="B31" s="26"/>
      <c r="C31" s="11">
        <f>I31/E129</f>
        <v>0.01222101027</v>
      </c>
      <c r="D31" s="43" t="s">
        <v>64</v>
      </c>
      <c r="E31" s="43" t="s">
        <v>63</v>
      </c>
      <c r="F31" s="41">
        <v>8.3</v>
      </c>
      <c r="G31" s="28">
        <v>1200.0</v>
      </c>
      <c r="H31" s="15">
        <f t="shared" si="1"/>
        <v>390240</v>
      </c>
      <c r="I31" s="15">
        <f t="shared" si="8"/>
        <v>335268</v>
      </c>
      <c r="J31" s="16">
        <v>325.2</v>
      </c>
      <c r="K31" s="17">
        <f>IFERROR(__xludf.DUMMYFUNCTION("GOOGLEFINANCE(E31,""changepct"")"),0.24)</f>
        <v>0.24</v>
      </c>
      <c r="L31" s="18">
        <f>IFERROR(__xludf.DUMMYFUNCTION("googlefinance(E31,""price"")"),279.39)</f>
        <v>279.39</v>
      </c>
      <c r="M31" s="20"/>
      <c r="N31" s="20">
        <f t="shared" si="2"/>
        <v>-45.81</v>
      </c>
      <c r="O31" s="21">
        <f t="shared" si="9"/>
        <v>-0.1408671587</v>
      </c>
      <c r="P31" s="15">
        <f t="shared" si="3"/>
        <v>-54972</v>
      </c>
      <c r="Q31" s="31"/>
      <c r="R31" s="23"/>
      <c r="S31" s="19"/>
      <c r="T31" s="23"/>
      <c r="U31" s="23"/>
      <c r="V31" s="12"/>
      <c r="W31" s="45"/>
      <c r="X31" s="20"/>
      <c r="Y31" s="15"/>
      <c r="Z31" s="38" t="s">
        <v>63</v>
      </c>
      <c r="AA31" s="46">
        <v>45700.0</v>
      </c>
      <c r="AB31" s="16">
        <v>325.2</v>
      </c>
      <c r="AC31" s="29">
        <v>325200.0</v>
      </c>
    </row>
    <row r="32">
      <c r="A32" s="36"/>
      <c r="B32" s="26"/>
      <c r="C32" s="11">
        <f>I32/E129</f>
        <v>0</v>
      </c>
      <c r="D32" s="40" t="s">
        <v>65</v>
      </c>
      <c r="E32" s="40" t="s">
        <v>66</v>
      </c>
      <c r="F32" s="41">
        <v>8.0</v>
      </c>
      <c r="G32" s="28">
        <v>1500.0</v>
      </c>
      <c r="H32" s="15">
        <f t="shared" si="1"/>
        <v>270615</v>
      </c>
      <c r="I32" s="29">
        <v>0.0</v>
      </c>
      <c r="J32" s="16">
        <v>180.41</v>
      </c>
      <c r="K32" s="17">
        <f>IFERROR(__xludf.DUMMYFUNCTION("GOOGLEFINANCE(E32,""changepct"")"),1.17)</f>
        <v>1.17</v>
      </c>
      <c r="L32" s="18">
        <f>IFERROR(__xludf.DUMMYFUNCTION("googlefinance(E32,""price"")"),203.95)</f>
        <v>203.95</v>
      </c>
      <c r="M32" s="16">
        <v>205.0</v>
      </c>
      <c r="N32" s="20">
        <f t="shared" si="2"/>
        <v>23.54</v>
      </c>
      <c r="O32" s="21">
        <f t="shared" ref="O32:O33" si="10">M32/J32-1</f>
        <v>0.1363006485</v>
      </c>
      <c r="P32" s="15">
        <f t="shared" si="3"/>
        <v>36885</v>
      </c>
      <c r="Q32" s="31"/>
      <c r="R32" s="23"/>
      <c r="S32" s="19"/>
      <c r="T32" s="23"/>
      <c r="U32" s="23"/>
      <c r="V32" s="38" t="s">
        <v>66</v>
      </c>
      <c r="W32" s="46">
        <v>45708.0</v>
      </c>
      <c r="X32" s="16">
        <v>205.0</v>
      </c>
      <c r="Y32" s="29">
        <v>307500.0</v>
      </c>
      <c r="Z32" s="12"/>
      <c r="AA32" s="45"/>
      <c r="AB32" s="20"/>
      <c r="AC32" s="15"/>
    </row>
    <row r="33">
      <c r="A33" s="36"/>
      <c r="B33" s="26"/>
      <c r="C33" s="11">
        <f>I33/E129</f>
        <v>0</v>
      </c>
      <c r="D33" s="12" t="s">
        <v>67</v>
      </c>
      <c r="E33" s="12" t="s">
        <v>67</v>
      </c>
      <c r="F33" s="13">
        <v>7.9</v>
      </c>
      <c r="G33" s="28">
        <v>3000.0</v>
      </c>
      <c r="H33" s="15">
        <f t="shared" si="1"/>
        <v>236400</v>
      </c>
      <c r="I33" s="29">
        <v>0.0</v>
      </c>
      <c r="J33" s="16">
        <v>78.8</v>
      </c>
      <c r="K33" s="17">
        <f>IFERROR(__xludf.DUMMYFUNCTION("GOOGLEFINANCE(E33,""changepct"")"),1.03)</f>
        <v>1.03</v>
      </c>
      <c r="L33" s="18">
        <f>IFERROR(__xludf.DUMMYFUNCTION("googlefinance(E33,""price"")"),114.08)</f>
        <v>114.08</v>
      </c>
      <c r="M33" s="16">
        <v>97.26</v>
      </c>
      <c r="N33" s="20">
        <f t="shared" si="2"/>
        <v>35.28</v>
      </c>
      <c r="O33" s="21">
        <f t="shared" si="10"/>
        <v>0.2342639594</v>
      </c>
      <c r="P33" s="15">
        <f t="shared" si="3"/>
        <v>55380</v>
      </c>
      <c r="Q33" s="31"/>
      <c r="R33" s="23"/>
      <c r="S33" s="19"/>
      <c r="T33" s="23"/>
      <c r="U33" s="23"/>
      <c r="V33" s="38" t="s">
        <v>67</v>
      </c>
      <c r="W33" s="46">
        <v>45700.0</v>
      </c>
      <c r="X33" s="16">
        <v>97.26</v>
      </c>
      <c r="Y33" s="29">
        <v>291780.0</v>
      </c>
      <c r="Z33" s="12"/>
      <c r="AA33" s="45"/>
      <c r="AB33" s="20"/>
      <c r="AC33" s="15"/>
    </row>
    <row r="34">
      <c r="A34" s="36"/>
      <c r="B34" s="26"/>
      <c r="C34" s="11">
        <f>I34/E129</f>
        <v>0.02307523636</v>
      </c>
      <c r="D34" s="43" t="s">
        <v>68</v>
      </c>
      <c r="E34" s="40" t="s">
        <v>69</v>
      </c>
      <c r="F34" s="41">
        <v>8.1</v>
      </c>
      <c r="G34" s="28">
        <v>4000.0</v>
      </c>
      <c r="H34" s="15">
        <f t="shared" si="1"/>
        <v>614480</v>
      </c>
      <c r="I34" s="15">
        <f>H34+P34</f>
        <v>633040</v>
      </c>
      <c r="J34" s="16">
        <v>153.62</v>
      </c>
      <c r="K34" s="17">
        <f>IFERROR(__xludf.DUMMYFUNCTION("GOOGLEFINANCE(E34,""changepct"")"),1.26)</f>
        <v>1.26</v>
      </c>
      <c r="L34" s="18">
        <f>IFERROR(__xludf.DUMMYFUNCTION("googlefinance(E34,""price"")"),158.26)</f>
        <v>158.26</v>
      </c>
      <c r="M34" s="19"/>
      <c r="N34" s="20">
        <f t="shared" si="2"/>
        <v>4.64</v>
      </c>
      <c r="O34" s="21">
        <f>L34/J34-1</f>
        <v>0.03020440047</v>
      </c>
      <c r="P34" s="15">
        <f t="shared" si="3"/>
        <v>18560</v>
      </c>
      <c r="Q34" s="11">
        <v>0.02</v>
      </c>
      <c r="R34" s="15"/>
      <c r="S34" s="19"/>
      <c r="T34" s="23"/>
      <c r="U34" s="23"/>
      <c r="V34" s="24"/>
      <c r="W34" s="25"/>
      <c r="X34" s="19"/>
      <c r="Y34" s="23"/>
      <c r="Z34" s="12"/>
      <c r="AA34" s="45"/>
      <c r="AB34" s="20"/>
      <c r="AC34" s="15"/>
    </row>
    <row r="35">
      <c r="A35" s="36"/>
      <c r="B35" s="26"/>
      <c r="C35" s="11">
        <f>I35/E129</f>
        <v>0</v>
      </c>
      <c r="D35" s="43" t="s">
        <v>68</v>
      </c>
      <c r="E35" s="40" t="s">
        <v>69</v>
      </c>
      <c r="F35" s="41">
        <v>8.1</v>
      </c>
      <c r="G35" s="28">
        <v>2500.0</v>
      </c>
      <c r="H35" s="15">
        <f t="shared" si="1"/>
        <v>407250</v>
      </c>
      <c r="I35" s="29">
        <v>0.0</v>
      </c>
      <c r="J35" s="16">
        <v>162.9</v>
      </c>
      <c r="K35" s="17">
        <f>IFERROR(__xludf.DUMMYFUNCTION("GOOGLEFINANCE(E35,""changepct"")"),1.26)</f>
        <v>1.26</v>
      </c>
      <c r="L35" s="18">
        <f>IFERROR(__xludf.DUMMYFUNCTION("googlefinance(E35,""price"")"),158.26)</f>
        <v>158.26</v>
      </c>
      <c r="M35" s="30">
        <v>157.16</v>
      </c>
      <c r="N35" s="20">
        <f t="shared" si="2"/>
        <v>-4.64</v>
      </c>
      <c r="O35" s="21">
        <f t="shared" ref="O35:O36" si="11">M35/J35-1</f>
        <v>-0.03523634131</v>
      </c>
      <c r="P35" s="15">
        <f t="shared" si="3"/>
        <v>-14350</v>
      </c>
      <c r="Q35" s="11"/>
      <c r="R35" s="23"/>
      <c r="S35" s="19"/>
      <c r="T35" s="23"/>
      <c r="U35" s="23"/>
      <c r="V35" s="33" t="s">
        <v>69</v>
      </c>
      <c r="W35" s="34">
        <v>45722.0</v>
      </c>
      <c r="X35" s="30">
        <v>157.16</v>
      </c>
      <c r="Y35" s="35">
        <v>392900.0</v>
      </c>
      <c r="Z35" s="38" t="s">
        <v>69</v>
      </c>
      <c r="AA35" s="46">
        <v>45712.0</v>
      </c>
      <c r="AB35" s="16">
        <v>162.9</v>
      </c>
      <c r="AC35" s="29">
        <v>407250.0</v>
      </c>
    </row>
    <row r="36">
      <c r="A36" s="36"/>
      <c r="B36" s="26"/>
      <c r="C36" s="11">
        <f>I36/E129</f>
        <v>0</v>
      </c>
      <c r="D36" s="43" t="s">
        <v>68</v>
      </c>
      <c r="E36" s="40" t="s">
        <v>69</v>
      </c>
      <c r="F36" s="41">
        <v>8.1</v>
      </c>
      <c r="G36" s="28">
        <v>4000.0</v>
      </c>
      <c r="H36" s="15">
        <f t="shared" si="1"/>
        <v>614480</v>
      </c>
      <c r="I36" s="29">
        <v>0.0</v>
      </c>
      <c r="J36" s="16">
        <v>153.62</v>
      </c>
      <c r="K36" s="17">
        <f>IFERROR(__xludf.DUMMYFUNCTION("GOOGLEFINANCE(E36,""changepct"")"),1.26)</f>
        <v>1.26</v>
      </c>
      <c r="L36" s="18">
        <f>IFERROR(__xludf.DUMMYFUNCTION("googlefinance(E36,""price"")"),158.26)</f>
        <v>158.26</v>
      </c>
      <c r="M36" s="30">
        <v>173.5</v>
      </c>
      <c r="N36" s="20">
        <f t="shared" si="2"/>
        <v>4.64</v>
      </c>
      <c r="O36" s="21">
        <f t="shared" si="11"/>
        <v>0.129410233</v>
      </c>
      <c r="P36" s="15">
        <f t="shared" si="3"/>
        <v>79520</v>
      </c>
      <c r="Q36" s="11">
        <v>0.02</v>
      </c>
      <c r="R36" s="23"/>
      <c r="S36" s="19"/>
      <c r="T36" s="23"/>
      <c r="U36" s="23"/>
      <c r="V36" s="33" t="s">
        <v>69</v>
      </c>
      <c r="W36" s="34">
        <v>45708.0</v>
      </c>
      <c r="X36" s="30">
        <v>173.5</v>
      </c>
      <c r="Y36" s="35">
        <v>694000.0</v>
      </c>
      <c r="Z36" s="12"/>
      <c r="AA36" s="45"/>
      <c r="AB36" s="20"/>
      <c r="AC36" s="15"/>
    </row>
    <row r="37">
      <c r="A37" s="36"/>
      <c r="B37" s="26"/>
      <c r="C37" s="11">
        <f>I37/E129</f>
        <v>0.02009141044</v>
      </c>
      <c r="D37" s="40" t="s">
        <v>70</v>
      </c>
      <c r="E37" s="40" t="s">
        <v>71</v>
      </c>
      <c r="F37" s="41">
        <v>8.0</v>
      </c>
      <c r="G37" s="28">
        <v>750.0</v>
      </c>
      <c r="H37" s="15">
        <f t="shared" si="1"/>
        <v>519810</v>
      </c>
      <c r="I37" s="15">
        <f>H37+P37</f>
        <v>551182.5</v>
      </c>
      <c r="J37" s="16">
        <v>693.08</v>
      </c>
      <c r="K37" s="17">
        <f>IFERROR(__xludf.DUMMYFUNCTION("GOOGLEFINANCE(E37,""changepct"")"),0.52)</f>
        <v>0.52</v>
      </c>
      <c r="L37" s="18">
        <f>IFERROR(__xludf.DUMMYFUNCTION("googlefinance(E37,""price"")"),734.91)</f>
        <v>734.91</v>
      </c>
      <c r="M37" s="19"/>
      <c r="N37" s="20">
        <f t="shared" si="2"/>
        <v>41.83</v>
      </c>
      <c r="O37" s="21">
        <f>L37/J37-1</f>
        <v>0.06035378311</v>
      </c>
      <c r="P37" s="15">
        <f t="shared" si="3"/>
        <v>31372.5</v>
      </c>
      <c r="Q37" s="11">
        <v>0.01</v>
      </c>
      <c r="R37" s="23"/>
      <c r="S37" s="19"/>
      <c r="T37" s="23"/>
      <c r="U37" s="23"/>
      <c r="V37" s="24"/>
      <c r="W37" s="25"/>
      <c r="X37" s="19"/>
      <c r="Y37" s="23"/>
      <c r="Z37" s="12"/>
      <c r="AA37" s="45"/>
      <c r="AB37" s="20"/>
      <c r="AC37" s="15"/>
    </row>
    <row r="38">
      <c r="A38" s="36"/>
      <c r="B38" s="26"/>
      <c r="C38" s="11">
        <f>I38/E129</f>
        <v>0</v>
      </c>
      <c r="D38" s="40" t="s">
        <v>70</v>
      </c>
      <c r="E38" s="40" t="s">
        <v>71</v>
      </c>
      <c r="F38" s="41">
        <v>8.0</v>
      </c>
      <c r="G38" s="28">
        <v>450.0</v>
      </c>
      <c r="H38" s="15">
        <f t="shared" si="1"/>
        <v>305550</v>
      </c>
      <c r="I38" s="29">
        <v>0.0</v>
      </c>
      <c r="J38" s="16">
        <v>679.0</v>
      </c>
      <c r="K38" s="17">
        <f>IFERROR(__xludf.DUMMYFUNCTION("GOOGLEFINANCE(E38,""changepct"")"),0.52)</f>
        <v>0.52</v>
      </c>
      <c r="L38" s="18">
        <f>IFERROR(__xludf.DUMMYFUNCTION("googlefinance(E38,""price"")"),734.91)</f>
        <v>734.91</v>
      </c>
      <c r="M38" s="30">
        <v>729.2</v>
      </c>
      <c r="N38" s="20">
        <f t="shared" si="2"/>
        <v>55.91</v>
      </c>
      <c r="O38" s="21">
        <f>M38/J38-1</f>
        <v>0.07393225331</v>
      </c>
      <c r="P38" s="15">
        <f t="shared" si="3"/>
        <v>22590</v>
      </c>
      <c r="Q38" s="31"/>
      <c r="R38" s="23"/>
      <c r="S38" s="19"/>
      <c r="T38" s="23"/>
      <c r="U38" s="23"/>
      <c r="V38" s="33" t="s">
        <v>71</v>
      </c>
      <c r="W38" s="34">
        <v>45722.0</v>
      </c>
      <c r="X38" s="30">
        <v>729.2</v>
      </c>
      <c r="Y38" s="35">
        <v>328140.0</v>
      </c>
      <c r="Z38" s="38" t="s">
        <v>71</v>
      </c>
      <c r="AA38" s="46">
        <v>45685.0</v>
      </c>
      <c r="AB38" s="16">
        <v>679.0</v>
      </c>
      <c r="AC38" s="35">
        <v>305550.0</v>
      </c>
    </row>
    <row r="39">
      <c r="A39" s="36"/>
      <c r="B39" s="26"/>
      <c r="C39" s="11">
        <f>I39/E129</f>
        <v>0.02834466035</v>
      </c>
      <c r="D39" s="43" t="s">
        <v>72</v>
      </c>
      <c r="E39" s="40" t="s">
        <v>73</v>
      </c>
      <c r="F39" s="41">
        <v>8.0</v>
      </c>
      <c r="G39" s="28">
        <v>40000.0</v>
      </c>
      <c r="H39" s="15">
        <f t="shared" si="1"/>
        <v>888000</v>
      </c>
      <c r="I39" s="15">
        <f t="shared" ref="I39:I40" si="12">H39+P39</f>
        <v>777600</v>
      </c>
      <c r="J39" s="16">
        <v>22.2</v>
      </c>
      <c r="K39" s="17">
        <f>IFERROR(__xludf.DUMMYFUNCTION("GOOGLEFINANCE(E39,""changepct"")"),0.36)</f>
        <v>0.36</v>
      </c>
      <c r="L39" s="18">
        <f>IFERROR(__xludf.DUMMYFUNCTION("googlefinance(E39,""price"")"),19.44)</f>
        <v>19.44</v>
      </c>
      <c r="M39" s="19"/>
      <c r="N39" s="20">
        <f t="shared" si="2"/>
        <v>-2.76</v>
      </c>
      <c r="O39" s="21">
        <f t="shared" ref="O39:O40" si="13">L39/J39-1</f>
        <v>-0.1243243243</v>
      </c>
      <c r="P39" s="15">
        <f t="shared" si="3"/>
        <v>-110400</v>
      </c>
      <c r="Q39" s="31"/>
      <c r="R39" s="23"/>
      <c r="S39" s="19"/>
      <c r="T39" s="23"/>
      <c r="U39" s="23"/>
      <c r="V39" s="24"/>
      <c r="W39" s="25"/>
      <c r="X39" s="19"/>
      <c r="Y39" s="23"/>
      <c r="Z39" s="12"/>
      <c r="AA39" s="45"/>
      <c r="AB39" s="20"/>
      <c r="AC39" s="15"/>
    </row>
    <row r="40">
      <c r="A40" s="36"/>
      <c r="B40" s="26"/>
      <c r="C40" s="11">
        <f>I40/E129</f>
        <v>0.02125849526</v>
      </c>
      <c r="D40" s="43" t="s">
        <v>74</v>
      </c>
      <c r="E40" s="40" t="s">
        <v>73</v>
      </c>
      <c r="F40" s="41">
        <v>8.0</v>
      </c>
      <c r="G40" s="28">
        <v>30000.0</v>
      </c>
      <c r="H40" s="15">
        <f t="shared" si="1"/>
        <v>547200</v>
      </c>
      <c r="I40" s="15">
        <f t="shared" si="12"/>
        <v>583200</v>
      </c>
      <c r="J40" s="16">
        <v>18.24</v>
      </c>
      <c r="K40" s="17">
        <f>IFERROR(__xludf.DUMMYFUNCTION("GOOGLEFINANCE(E40,""changepct"")"),0.36)</f>
        <v>0.36</v>
      </c>
      <c r="L40" s="18">
        <f>IFERROR(__xludf.DUMMYFUNCTION("googlefinance(E40,""price"")"),19.44)</f>
        <v>19.44</v>
      </c>
      <c r="M40" s="19"/>
      <c r="N40" s="20">
        <f t="shared" si="2"/>
        <v>1.2</v>
      </c>
      <c r="O40" s="21">
        <f t="shared" si="13"/>
        <v>0.06578947368</v>
      </c>
      <c r="P40" s="15">
        <f t="shared" si="3"/>
        <v>36000</v>
      </c>
      <c r="Q40" s="31"/>
      <c r="R40" s="23"/>
      <c r="S40" s="30"/>
      <c r="T40" s="35"/>
      <c r="U40" s="23"/>
      <c r="V40" s="24"/>
      <c r="W40" s="25"/>
      <c r="X40" s="19"/>
      <c r="Y40" s="23"/>
      <c r="Z40" s="33" t="s">
        <v>73</v>
      </c>
      <c r="AA40" s="34">
        <v>45726.0</v>
      </c>
      <c r="AB40" s="30">
        <v>18.24</v>
      </c>
      <c r="AC40" s="35">
        <v>547200.0</v>
      </c>
    </row>
    <row r="41">
      <c r="A41" s="36"/>
      <c r="B41" s="26"/>
      <c r="C41" s="11">
        <f>I41/E129</f>
        <v>0</v>
      </c>
      <c r="D41" s="43" t="s">
        <v>74</v>
      </c>
      <c r="E41" s="40" t="s">
        <v>73</v>
      </c>
      <c r="F41" s="41">
        <v>8.0</v>
      </c>
      <c r="G41" s="28">
        <v>20000.0</v>
      </c>
      <c r="H41" s="15">
        <f t="shared" si="1"/>
        <v>423600</v>
      </c>
      <c r="I41" s="29">
        <v>0.0</v>
      </c>
      <c r="J41" s="16">
        <v>21.18</v>
      </c>
      <c r="K41" s="17">
        <f>IFERROR(__xludf.DUMMYFUNCTION("GOOGLEFINANCE(E41,""changepct"")"),0.36)</f>
        <v>0.36</v>
      </c>
      <c r="L41" s="18">
        <f>IFERROR(__xludf.DUMMYFUNCTION("googlefinance(E41,""price"")"),19.44)</f>
        <v>19.44</v>
      </c>
      <c r="M41" s="30">
        <v>18.5</v>
      </c>
      <c r="N41" s="20">
        <f t="shared" si="2"/>
        <v>-1.74</v>
      </c>
      <c r="O41" s="21">
        <f t="shared" ref="O41:O42" si="14">M41/J41-1</f>
        <v>-0.1265344665</v>
      </c>
      <c r="P41" s="15">
        <f t="shared" si="3"/>
        <v>-53600</v>
      </c>
      <c r="Q41" s="31"/>
      <c r="R41" s="23"/>
      <c r="S41" s="30"/>
      <c r="T41" s="35"/>
      <c r="U41" s="23"/>
      <c r="V41" s="33" t="s">
        <v>73</v>
      </c>
      <c r="W41" s="34">
        <v>45730.0</v>
      </c>
      <c r="X41" s="30">
        <v>18.5</v>
      </c>
      <c r="Y41" s="35">
        <v>370000.0</v>
      </c>
      <c r="Z41" s="33" t="s">
        <v>73</v>
      </c>
      <c r="AA41" s="34">
        <v>45712.0</v>
      </c>
      <c r="AB41" s="30">
        <v>21.18</v>
      </c>
      <c r="AC41" s="35">
        <v>423600.0</v>
      </c>
    </row>
    <row r="42">
      <c r="A42" s="36"/>
      <c r="B42" s="26"/>
      <c r="C42" s="11">
        <f>I42/E129</f>
        <v>0</v>
      </c>
      <c r="D42" s="43" t="s">
        <v>74</v>
      </c>
      <c r="E42" s="40" t="s">
        <v>73</v>
      </c>
      <c r="F42" s="41">
        <v>8.0</v>
      </c>
      <c r="G42" s="28">
        <v>10000.0</v>
      </c>
      <c r="H42" s="15">
        <f t="shared" si="1"/>
        <v>241200</v>
      </c>
      <c r="I42" s="29">
        <v>0.0</v>
      </c>
      <c r="J42" s="16">
        <v>24.12</v>
      </c>
      <c r="K42" s="17">
        <f>IFERROR(__xludf.DUMMYFUNCTION("GOOGLEFINANCE(E42,""changepct"")"),0.36)</f>
        <v>0.36</v>
      </c>
      <c r="L42" s="18">
        <f>IFERROR(__xludf.DUMMYFUNCTION("googlefinance(E42,""price"")"),19.44)</f>
        <v>19.44</v>
      </c>
      <c r="M42" s="30">
        <v>18.5</v>
      </c>
      <c r="N42" s="20">
        <f t="shared" si="2"/>
        <v>-4.68</v>
      </c>
      <c r="O42" s="21">
        <f t="shared" si="14"/>
        <v>-0.2330016584</v>
      </c>
      <c r="P42" s="15">
        <f t="shared" si="3"/>
        <v>-56200</v>
      </c>
      <c r="Q42" s="31"/>
      <c r="R42" s="23"/>
      <c r="S42" s="30"/>
      <c r="T42" s="35"/>
      <c r="U42" s="23"/>
      <c r="V42" s="33" t="s">
        <v>73</v>
      </c>
      <c r="W42" s="34">
        <v>45730.0</v>
      </c>
      <c r="X42" s="30">
        <v>18.5</v>
      </c>
      <c r="Y42" s="35">
        <v>185000.0</v>
      </c>
      <c r="Z42" s="33" t="s">
        <v>73</v>
      </c>
      <c r="AA42" s="34">
        <v>45700.0</v>
      </c>
      <c r="AB42" s="30">
        <v>24.12</v>
      </c>
      <c r="AC42" s="35">
        <v>241200.0</v>
      </c>
    </row>
    <row r="43">
      <c r="A43" s="36"/>
      <c r="B43" s="26"/>
      <c r="C43" s="11">
        <f>I43/E129</f>
        <v>0.03806626647</v>
      </c>
      <c r="D43" s="43" t="s">
        <v>75</v>
      </c>
      <c r="E43" s="43" t="s">
        <v>76</v>
      </c>
      <c r="F43" s="41">
        <v>8.0</v>
      </c>
      <c r="G43" s="28">
        <v>10000.0</v>
      </c>
      <c r="H43" s="15">
        <f t="shared" si="1"/>
        <v>1001200</v>
      </c>
      <c r="I43" s="15">
        <f t="shared" ref="I43:I44" si="15">H43+P43</f>
        <v>1044300</v>
      </c>
      <c r="J43" s="16">
        <v>100.12</v>
      </c>
      <c r="K43" s="17">
        <f>IFERROR(__xludf.DUMMYFUNCTION("GOOGLEFINANCE(E43,""changepct"")"),1.46)</f>
        <v>1.46</v>
      </c>
      <c r="L43" s="18">
        <f>IFERROR(__xludf.DUMMYFUNCTION("googlefinance(E43,""price"")"),104.43)</f>
        <v>104.43</v>
      </c>
      <c r="M43" s="19"/>
      <c r="N43" s="20">
        <f t="shared" si="2"/>
        <v>4.31</v>
      </c>
      <c r="O43" s="21">
        <f t="shared" ref="O43:O44" si="16">L43/J43-1</f>
        <v>0.04304834199</v>
      </c>
      <c r="P43" s="15">
        <f t="shared" si="3"/>
        <v>43100</v>
      </c>
      <c r="Q43" s="31"/>
      <c r="R43" s="23"/>
      <c r="S43" s="30"/>
      <c r="T43" s="35"/>
      <c r="U43" s="23"/>
      <c r="V43" s="33"/>
      <c r="W43" s="25"/>
      <c r="X43" s="19"/>
      <c r="Y43" s="23"/>
      <c r="Z43" s="33" t="s">
        <v>76</v>
      </c>
      <c r="AA43" s="34">
        <v>45730.0</v>
      </c>
      <c r="AB43" s="30">
        <v>100.12</v>
      </c>
      <c r="AC43" s="35">
        <v>1001200.0</v>
      </c>
    </row>
    <row r="44">
      <c r="A44" s="36"/>
      <c r="B44" s="26"/>
      <c r="C44" s="11">
        <f>I44/E129</f>
        <v>0.02636170058</v>
      </c>
      <c r="D44" s="40" t="s">
        <v>77</v>
      </c>
      <c r="E44" s="40" t="s">
        <v>78</v>
      </c>
      <c r="F44" s="41">
        <v>8.0</v>
      </c>
      <c r="G44" s="28">
        <v>80000.0</v>
      </c>
      <c r="H44" s="15">
        <f t="shared" si="1"/>
        <v>861600</v>
      </c>
      <c r="I44" s="15">
        <f t="shared" si="15"/>
        <v>723200</v>
      </c>
      <c r="J44" s="16">
        <v>10.77</v>
      </c>
      <c r="K44" s="17">
        <f>IFERROR(__xludf.DUMMYFUNCTION("GOOGLEFINANCE(E44,""changepct"")"),3.55)</f>
        <v>3.55</v>
      </c>
      <c r="L44" s="18">
        <f>IFERROR(__xludf.DUMMYFUNCTION("googlefinance(E44,""price"")"),9.04)</f>
        <v>9.04</v>
      </c>
      <c r="M44" s="19"/>
      <c r="N44" s="20">
        <f t="shared" si="2"/>
        <v>-1.73</v>
      </c>
      <c r="O44" s="21">
        <f t="shared" si="16"/>
        <v>-0.1606313835</v>
      </c>
      <c r="P44" s="15">
        <f t="shared" si="3"/>
        <v>-138400</v>
      </c>
      <c r="Q44" s="31"/>
      <c r="R44" s="23"/>
      <c r="S44" s="30"/>
      <c r="T44" s="35">
        <v>9000.0</v>
      </c>
      <c r="U44" s="23"/>
      <c r="V44" s="24"/>
      <c r="W44" s="25"/>
      <c r="X44" s="19"/>
      <c r="Y44" s="23"/>
      <c r="Z44" s="24"/>
      <c r="AA44" s="25"/>
      <c r="AB44" s="19"/>
      <c r="AC44" s="23"/>
    </row>
    <row r="45">
      <c r="A45" s="47"/>
      <c r="B45" s="48"/>
      <c r="C45" s="49">
        <f>I45/E129</f>
        <v>0</v>
      </c>
      <c r="D45" s="40" t="s">
        <v>77</v>
      </c>
      <c r="E45" s="40" t="s">
        <v>78</v>
      </c>
      <c r="F45" s="41">
        <v>8.0</v>
      </c>
      <c r="G45" s="50">
        <v>20000.0</v>
      </c>
      <c r="H45" s="15">
        <f t="shared" si="1"/>
        <v>215400</v>
      </c>
      <c r="I45" s="29">
        <v>0.0</v>
      </c>
      <c r="J45" s="37">
        <v>10.77</v>
      </c>
      <c r="K45" s="17">
        <f>IFERROR(__xludf.DUMMYFUNCTION("GOOGLEFINANCE(E45,""changepct"")"),3.55)</f>
        <v>3.55</v>
      </c>
      <c r="L45" s="18">
        <f>IFERROR(__xludf.DUMMYFUNCTION("googlefinance(E45,""price"")"),9.04)</f>
        <v>9.04</v>
      </c>
      <c r="M45" s="37">
        <v>12.9</v>
      </c>
      <c r="N45" s="20">
        <f t="shared" si="2"/>
        <v>-1.73</v>
      </c>
      <c r="O45" s="21">
        <f>M45/J45-1</f>
        <v>0.1977715877</v>
      </c>
      <c r="P45" s="15">
        <f t="shared" si="3"/>
        <v>42600</v>
      </c>
      <c r="Q45" s="51"/>
      <c r="R45" s="52"/>
      <c r="S45" s="48"/>
      <c r="T45" s="52"/>
      <c r="U45" s="52"/>
      <c r="V45" s="43" t="s">
        <v>78</v>
      </c>
      <c r="W45" s="53">
        <v>45667.0</v>
      </c>
      <c r="X45" s="37">
        <v>12.9</v>
      </c>
      <c r="Y45" s="54">
        <v>258000.0</v>
      </c>
      <c r="Z45" s="40"/>
      <c r="AA45" s="48"/>
      <c r="AB45" s="22"/>
      <c r="AC45" s="52"/>
    </row>
    <row r="46">
      <c r="A46" s="55"/>
      <c r="B46" s="56"/>
      <c r="C46" s="4" t="s">
        <v>79</v>
      </c>
      <c r="D46" s="56"/>
      <c r="E46" s="56"/>
      <c r="F46" s="56"/>
      <c r="G46" s="57"/>
      <c r="H46" s="58">
        <f>SUM(H3:H45)</f>
        <v>26785719</v>
      </c>
      <c r="I46" s="59">
        <f>SUM(I3:I44)</f>
        <v>19750102.5</v>
      </c>
      <c r="J46" s="60"/>
      <c r="K46" s="60"/>
      <c r="L46" s="60"/>
      <c r="M46" s="56"/>
      <c r="N46" s="56"/>
      <c r="O46" s="61">
        <f>(P46+T46+U46+R46)/H46</f>
        <v>-0.09200225314</v>
      </c>
      <c r="P46" s="59">
        <f>SUM(P3:P45)</f>
        <v>-2493696.5</v>
      </c>
      <c r="Q46" s="62"/>
      <c r="R46" s="58">
        <f>SUM(R3:R44)</f>
        <v>0</v>
      </c>
      <c r="S46" s="56"/>
      <c r="T46" s="58">
        <f>SUM(T3:T45)</f>
        <v>29350</v>
      </c>
      <c r="U46" s="58">
        <f>SUM(U3:U44)</f>
        <v>0</v>
      </c>
      <c r="V46" s="4"/>
      <c r="W46" s="56"/>
      <c r="X46" s="60"/>
      <c r="Y46" s="58">
        <f>SUM(Y3:Y45)</f>
        <v>4541920</v>
      </c>
      <c r="Z46" s="4" t="s">
        <v>79</v>
      </c>
      <c r="AA46" s="56"/>
      <c r="AB46" s="60"/>
      <c r="AC46" s="58">
        <f>SUM(AC3:AC44)</f>
        <v>10879745</v>
      </c>
    </row>
    <row r="47">
      <c r="A47" s="55"/>
      <c r="B47" s="4" t="s">
        <v>80</v>
      </c>
      <c r="C47" s="4" t="s">
        <v>2</v>
      </c>
      <c r="D47" s="4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5" t="s">
        <v>8</v>
      </c>
      <c r="J47" s="5" t="s">
        <v>9</v>
      </c>
      <c r="K47" s="6" t="s">
        <v>10</v>
      </c>
      <c r="L47" s="6" t="s">
        <v>11</v>
      </c>
      <c r="M47" s="7" t="s">
        <v>12</v>
      </c>
      <c r="N47" s="7" t="s">
        <v>13</v>
      </c>
      <c r="O47" s="4" t="s">
        <v>14</v>
      </c>
      <c r="P47" s="7" t="s">
        <v>15</v>
      </c>
      <c r="Q47" s="4" t="s">
        <v>16</v>
      </c>
      <c r="R47" s="4" t="s">
        <v>17</v>
      </c>
      <c r="S47" s="7" t="s">
        <v>18</v>
      </c>
      <c r="T47" s="4" t="s">
        <v>19</v>
      </c>
      <c r="U47" s="4" t="s">
        <v>81</v>
      </c>
      <c r="V47" s="4" t="s">
        <v>21</v>
      </c>
      <c r="W47" s="4" t="s">
        <v>22</v>
      </c>
      <c r="X47" s="9" t="s">
        <v>23</v>
      </c>
      <c r="Y47" s="9" t="s">
        <v>24</v>
      </c>
      <c r="Z47" s="4" t="s">
        <v>25</v>
      </c>
      <c r="AA47" s="4" t="s">
        <v>26</v>
      </c>
      <c r="AB47" s="4" t="s">
        <v>27</v>
      </c>
      <c r="AC47" s="4" t="s">
        <v>28</v>
      </c>
    </row>
    <row r="48">
      <c r="A48" s="63" t="s">
        <v>29</v>
      </c>
      <c r="B48" s="64">
        <f>I55/E129</f>
        <v>0</v>
      </c>
      <c r="C48" s="65">
        <f>I48/E129</f>
        <v>0</v>
      </c>
      <c r="D48" s="66" t="s">
        <v>82</v>
      </c>
      <c r="E48" s="66" t="s">
        <v>83</v>
      </c>
      <c r="F48" s="13">
        <v>7.7</v>
      </c>
      <c r="G48" s="67">
        <v>10000.0</v>
      </c>
      <c r="H48" s="15">
        <f t="shared" ref="H48:H54" si="17">J48*G48</f>
        <v>327300</v>
      </c>
      <c r="I48" s="29">
        <v>0.0</v>
      </c>
      <c r="J48" s="68">
        <v>32.73</v>
      </c>
      <c r="K48" s="17">
        <f>IFERROR(__xludf.DUMMYFUNCTION("GOOGLEFINANCE(E48,""changepct"")"),1.92)</f>
        <v>1.92</v>
      </c>
      <c r="L48" s="20">
        <f>IFERROR(__xludf.DUMMYFUNCTION("googlefinance(E48,""price"")"),36.05)</f>
        <v>36.05</v>
      </c>
      <c r="M48" s="68">
        <v>36.4</v>
      </c>
      <c r="N48" s="20">
        <f t="shared" ref="N48:N54" si="18">L48-J48</f>
        <v>3.32</v>
      </c>
      <c r="O48" s="21">
        <f t="shared" ref="O48:O54" si="19">M48/J48-1</f>
        <v>0.1121295448</v>
      </c>
      <c r="P48" s="15">
        <f t="shared" ref="P48:P54" si="20">H48*O48</f>
        <v>36700</v>
      </c>
      <c r="Q48" s="65">
        <v>0.052</v>
      </c>
      <c r="R48" s="23"/>
      <c r="S48" s="19"/>
      <c r="T48" s="23"/>
      <c r="U48" s="26"/>
      <c r="V48" s="38" t="s">
        <v>83</v>
      </c>
      <c r="W48" s="46">
        <v>45713.0</v>
      </c>
      <c r="X48" s="16">
        <v>36.4</v>
      </c>
      <c r="Y48" s="29">
        <v>360400.0</v>
      </c>
      <c r="Z48" s="24"/>
      <c r="AA48" s="26"/>
      <c r="AB48" s="19"/>
      <c r="AC48" s="23"/>
    </row>
    <row r="49">
      <c r="A49" s="47"/>
      <c r="B49" s="48"/>
      <c r="C49" s="65">
        <f>I49/E129</f>
        <v>0</v>
      </c>
      <c r="D49" s="66" t="s">
        <v>82</v>
      </c>
      <c r="E49" s="66" t="s">
        <v>83</v>
      </c>
      <c r="F49" s="13">
        <v>7.7</v>
      </c>
      <c r="G49" s="67">
        <v>10000.0</v>
      </c>
      <c r="H49" s="15">
        <f t="shared" si="17"/>
        <v>327300</v>
      </c>
      <c r="I49" s="29">
        <v>0.0</v>
      </c>
      <c r="J49" s="68">
        <v>32.73</v>
      </c>
      <c r="K49" s="17">
        <f>IFERROR(__xludf.DUMMYFUNCTION("GOOGLEFINANCE(E49,""changepct"")"),1.92)</f>
        <v>1.92</v>
      </c>
      <c r="L49" s="20">
        <f>IFERROR(__xludf.DUMMYFUNCTION("googlefinance(E49,""price"")"),36.05)</f>
        <v>36.05</v>
      </c>
      <c r="M49" s="37">
        <v>36.96</v>
      </c>
      <c r="N49" s="20">
        <f t="shared" si="18"/>
        <v>3.32</v>
      </c>
      <c r="O49" s="21">
        <f t="shared" si="19"/>
        <v>0.1292392301</v>
      </c>
      <c r="P49" s="15">
        <f t="shared" si="20"/>
        <v>42300</v>
      </c>
      <c r="Q49" s="65">
        <v>0.052</v>
      </c>
      <c r="R49" s="69"/>
      <c r="S49" s="48"/>
      <c r="T49" s="69"/>
      <c r="U49" s="48"/>
      <c r="V49" s="39" t="s">
        <v>83</v>
      </c>
      <c r="W49" s="53">
        <v>45670.0</v>
      </c>
      <c r="X49" s="37">
        <v>36.96</v>
      </c>
      <c r="Y49" s="70">
        <v>369600.0</v>
      </c>
      <c r="Z49" s="42"/>
      <c r="AA49" s="71"/>
      <c r="AB49" s="22"/>
      <c r="AC49" s="69"/>
    </row>
    <row r="50">
      <c r="A50" s="47"/>
      <c r="B50" s="48"/>
      <c r="C50" s="65">
        <f>I50/E129</f>
        <v>0</v>
      </c>
      <c r="D50" s="66" t="s">
        <v>84</v>
      </c>
      <c r="E50" s="66" t="s">
        <v>85</v>
      </c>
      <c r="F50" s="13">
        <v>7.8</v>
      </c>
      <c r="G50" s="67">
        <v>10000.0</v>
      </c>
      <c r="H50" s="15">
        <f t="shared" si="17"/>
        <v>383400</v>
      </c>
      <c r="I50" s="29">
        <v>0.0</v>
      </c>
      <c r="J50" s="68">
        <v>38.34</v>
      </c>
      <c r="K50" s="17">
        <f>IFERROR(__xludf.DUMMYFUNCTION("GOOGLEFINANCE(E50,""changepct"")"),-0.12)</f>
        <v>-0.12</v>
      </c>
      <c r="L50" s="20">
        <f>IFERROR(__xludf.DUMMYFUNCTION("googlefinance(E50,""price"")"),41.08)</f>
        <v>41.08</v>
      </c>
      <c r="M50" s="37">
        <v>41.85</v>
      </c>
      <c r="N50" s="20">
        <f t="shared" si="18"/>
        <v>2.74</v>
      </c>
      <c r="O50" s="21">
        <f t="shared" si="19"/>
        <v>0.09154929577</v>
      </c>
      <c r="P50" s="15">
        <f t="shared" si="20"/>
        <v>35100</v>
      </c>
      <c r="Q50" s="65">
        <v>0.026</v>
      </c>
      <c r="R50" s="69"/>
      <c r="S50" s="48"/>
      <c r="T50" s="69"/>
      <c r="U50" s="48"/>
      <c r="V50" s="39" t="s">
        <v>85</v>
      </c>
      <c r="W50" s="53">
        <v>45726.0</v>
      </c>
      <c r="X50" s="37">
        <v>41.85</v>
      </c>
      <c r="Y50" s="70">
        <v>418500.0</v>
      </c>
      <c r="Z50" s="42"/>
      <c r="AA50" s="71"/>
      <c r="AB50" s="22"/>
      <c r="AC50" s="69"/>
    </row>
    <row r="51">
      <c r="A51" s="47"/>
      <c r="B51" s="48"/>
      <c r="C51" s="65">
        <f>I51/E129</f>
        <v>0</v>
      </c>
      <c r="D51" s="66" t="s">
        <v>84</v>
      </c>
      <c r="E51" s="66" t="s">
        <v>85</v>
      </c>
      <c r="F51" s="13">
        <v>7.8</v>
      </c>
      <c r="G51" s="67">
        <v>5000.0</v>
      </c>
      <c r="H51" s="15">
        <f t="shared" si="17"/>
        <v>209500</v>
      </c>
      <c r="I51" s="29">
        <v>0.0</v>
      </c>
      <c r="J51" s="68">
        <v>41.9</v>
      </c>
      <c r="K51" s="17">
        <f>IFERROR(__xludf.DUMMYFUNCTION("GOOGLEFINANCE(E51,""changepct"")"),-0.12)</f>
        <v>-0.12</v>
      </c>
      <c r="L51" s="20">
        <f>IFERROR(__xludf.DUMMYFUNCTION("googlefinance(E51,""price"")"),41.08)</f>
        <v>41.08</v>
      </c>
      <c r="M51" s="37">
        <v>41.85</v>
      </c>
      <c r="N51" s="20">
        <f t="shared" si="18"/>
        <v>-0.82</v>
      </c>
      <c r="O51" s="21">
        <f t="shared" si="19"/>
        <v>-0.001193317422</v>
      </c>
      <c r="P51" s="15">
        <f t="shared" si="20"/>
        <v>-250</v>
      </c>
      <c r="Q51" s="65">
        <v>0.026</v>
      </c>
      <c r="R51" s="72"/>
      <c r="S51" s="48"/>
      <c r="T51" s="69"/>
      <c r="U51" s="48"/>
      <c r="V51" s="39" t="s">
        <v>85</v>
      </c>
      <c r="W51" s="53">
        <v>45726.0</v>
      </c>
      <c r="X51" s="37">
        <v>41.85</v>
      </c>
      <c r="Y51" s="70">
        <v>209250.0</v>
      </c>
      <c r="Z51" s="39" t="s">
        <v>85</v>
      </c>
      <c r="AA51" s="53">
        <v>45674.0</v>
      </c>
      <c r="AB51" s="37">
        <v>41.9</v>
      </c>
      <c r="AC51" s="70">
        <v>209500.0</v>
      </c>
    </row>
    <row r="52">
      <c r="A52" s="47"/>
      <c r="B52" s="48"/>
      <c r="C52" s="65">
        <f>I52/E129</f>
        <v>0</v>
      </c>
      <c r="D52" s="66" t="s">
        <v>84</v>
      </c>
      <c r="E52" s="66" t="s">
        <v>85</v>
      </c>
      <c r="F52" s="13">
        <v>7.8</v>
      </c>
      <c r="G52" s="67">
        <v>4000.0</v>
      </c>
      <c r="H52" s="15">
        <f t="shared" si="17"/>
        <v>153360</v>
      </c>
      <c r="I52" s="29">
        <v>0.0</v>
      </c>
      <c r="J52" s="68">
        <v>38.34</v>
      </c>
      <c r="K52" s="17">
        <f>IFERROR(__xludf.DUMMYFUNCTION("GOOGLEFINANCE(E52,""changepct"")"),-0.12)</f>
        <v>-0.12</v>
      </c>
      <c r="L52" s="20">
        <f>IFERROR(__xludf.DUMMYFUNCTION("googlefinance(E52,""price"")"),41.08)</f>
        <v>41.08</v>
      </c>
      <c r="M52" s="37">
        <v>39.8</v>
      </c>
      <c r="N52" s="20">
        <f t="shared" si="18"/>
        <v>2.74</v>
      </c>
      <c r="O52" s="21">
        <f t="shared" si="19"/>
        <v>0.03808033385</v>
      </c>
      <c r="P52" s="15">
        <f t="shared" si="20"/>
        <v>5840</v>
      </c>
      <c r="Q52" s="65">
        <v>0.026</v>
      </c>
      <c r="R52" s="72"/>
      <c r="S52" s="48"/>
      <c r="T52" s="69"/>
      <c r="U52" s="48"/>
      <c r="V52" s="39" t="s">
        <v>85</v>
      </c>
      <c r="W52" s="53">
        <v>45670.0</v>
      </c>
      <c r="X52" s="37">
        <v>39.8</v>
      </c>
      <c r="Y52" s="70">
        <v>159200.0</v>
      </c>
      <c r="Z52" s="42"/>
      <c r="AA52" s="71"/>
      <c r="AB52" s="22"/>
      <c r="AC52" s="69"/>
    </row>
    <row r="53">
      <c r="A53" s="47"/>
      <c r="B53" s="48"/>
      <c r="C53" s="65">
        <f>I53/E129</f>
        <v>0</v>
      </c>
      <c r="D53" s="66" t="s">
        <v>86</v>
      </c>
      <c r="E53" s="66" t="s">
        <v>87</v>
      </c>
      <c r="F53" s="13">
        <v>7.7</v>
      </c>
      <c r="G53" s="67">
        <v>2500.0</v>
      </c>
      <c r="H53" s="15">
        <f t="shared" si="17"/>
        <v>332525</v>
      </c>
      <c r="I53" s="29">
        <v>0.0</v>
      </c>
      <c r="J53" s="68">
        <v>133.01</v>
      </c>
      <c r="K53" s="17">
        <f>IFERROR(__xludf.DUMMYFUNCTION("GOOGLEFINANCE(E53,""changepct"")"),2.33)</f>
        <v>2.33</v>
      </c>
      <c r="L53" s="20">
        <f>IFERROR(__xludf.DUMMYFUNCTION("googlefinance(E53,""price"")"),156.38)</f>
        <v>156.38</v>
      </c>
      <c r="M53" s="37">
        <v>148.96</v>
      </c>
      <c r="N53" s="20">
        <f t="shared" si="18"/>
        <v>23.37</v>
      </c>
      <c r="O53" s="21">
        <f t="shared" si="19"/>
        <v>0.1199157958</v>
      </c>
      <c r="P53" s="15">
        <f t="shared" si="20"/>
        <v>39875</v>
      </c>
      <c r="Q53" s="65">
        <v>0.015</v>
      </c>
      <c r="R53" s="72"/>
      <c r="S53" s="48"/>
      <c r="T53" s="69"/>
      <c r="U53" s="48"/>
      <c r="V53" s="39" t="s">
        <v>85</v>
      </c>
      <c r="W53" s="53">
        <v>45712.0</v>
      </c>
      <c r="X53" s="37">
        <v>148.96</v>
      </c>
      <c r="Y53" s="70">
        <v>372400.0</v>
      </c>
      <c r="Z53" s="42"/>
      <c r="AA53" s="71"/>
      <c r="AB53" s="22"/>
      <c r="AC53" s="69"/>
    </row>
    <row r="54">
      <c r="A54" s="47"/>
      <c r="B54" s="48"/>
      <c r="C54" s="65">
        <f>I54/E129</f>
        <v>0</v>
      </c>
      <c r="D54" s="66" t="s">
        <v>86</v>
      </c>
      <c r="E54" s="66" t="s">
        <v>87</v>
      </c>
      <c r="F54" s="13">
        <v>7.7</v>
      </c>
      <c r="G54" s="67">
        <v>2500.0</v>
      </c>
      <c r="H54" s="15">
        <f t="shared" si="17"/>
        <v>332525</v>
      </c>
      <c r="I54" s="29">
        <v>0.0</v>
      </c>
      <c r="J54" s="68">
        <v>133.01</v>
      </c>
      <c r="K54" s="17">
        <f>IFERROR(__xludf.DUMMYFUNCTION("GOOGLEFINANCE(E54,""changepct"")"),2.33)</f>
        <v>2.33</v>
      </c>
      <c r="L54" s="20">
        <f>IFERROR(__xludf.DUMMYFUNCTION("googlefinance(E54,""price"")"),156.38)</f>
        <v>156.38</v>
      </c>
      <c r="M54" s="37">
        <v>145.35</v>
      </c>
      <c r="N54" s="20">
        <f t="shared" si="18"/>
        <v>23.37</v>
      </c>
      <c r="O54" s="21">
        <f t="shared" si="19"/>
        <v>0.09277497932</v>
      </c>
      <c r="P54" s="15">
        <f t="shared" si="20"/>
        <v>30850</v>
      </c>
      <c r="Q54" s="65">
        <v>0.015</v>
      </c>
      <c r="R54" s="72"/>
      <c r="S54" s="48"/>
      <c r="T54" s="69"/>
      <c r="U54" s="48"/>
      <c r="V54" s="39" t="s">
        <v>87</v>
      </c>
      <c r="W54" s="53">
        <v>45670.0</v>
      </c>
      <c r="X54" s="37">
        <v>145.35</v>
      </c>
      <c r="Y54" s="70">
        <v>363375.0</v>
      </c>
      <c r="Z54" s="42"/>
      <c r="AA54" s="71"/>
      <c r="AB54" s="22"/>
      <c r="AC54" s="69"/>
    </row>
    <row r="55">
      <c r="A55" s="55"/>
      <c r="B55" s="56"/>
      <c r="C55" s="4" t="s">
        <v>79</v>
      </c>
      <c r="D55" s="56"/>
      <c r="E55" s="56"/>
      <c r="F55" s="56"/>
      <c r="G55" s="73"/>
      <c r="H55" s="58">
        <f t="shared" ref="H55:I55" si="21">SUM(H48:H54)</f>
        <v>2065910</v>
      </c>
      <c r="I55" s="59">
        <f t="shared" si="21"/>
        <v>0</v>
      </c>
      <c r="J55" s="60"/>
      <c r="K55" s="60"/>
      <c r="L55" s="60"/>
      <c r="M55" s="56"/>
      <c r="N55" s="56"/>
      <c r="O55" s="61">
        <f>P55/H55</f>
        <v>0.09217003645</v>
      </c>
      <c r="P55" s="59">
        <f>SUM(P48:P54)</f>
        <v>190415</v>
      </c>
      <c r="Q55" s="56"/>
      <c r="R55" s="58">
        <f>SUM(R48:R54)</f>
        <v>0</v>
      </c>
      <c r="S55" s="56"/>
      <c r="T55" s="58">
        <f>SUM(T48:T54)</f>
        <v>0</v>
      </c>
      <c r="U55" s="56"/>
      <c r="V55" s="4"/>
      <c r="W55" s="56"/>
      <c r="X55" s="60"/>
      <c r="Y55" s="58">
        <f>SUM(Y48:Y54)</f>
        <v>2252725</v>
      </c>
      <c r="Z55" s="4" t="s">
        <v>79</v>
      </c>
      <c r="AA55" s="56"/>
      <c r="AB55" s="60"/>
      <c r="AC55" s="58">
        <f>SUM(AC48:AC54)</f>
        <v>209500</v>
      </c>
    </row>
    <row r="56">
      <c r="A56" s="55"/>
      <c r="B56" s="4" t="s">
        <v>88</v>
      </c>
      <c r="C56" s="4" t="s">
        <v>2</v>
      </c>
      <c r="D56" s="4" t="s">
        <v>3</v>
      </c>
      <c r="E56" s="4" t="s">
        <v>4</v>
      </c>
      <c r="F56" s="4" t="s">
        <v>5</v>
      </c>
      <c r="G56" s="4" t="s">
        <v>6</v>
      </c>
      <c r="H56" s="4" t="s">
        <v>7</v>
      </c>
      <c r="I56" s="5" t="s">
        <v>8</v>
      </c>
      <c r="J56" s="5" t="s">
        <v>9</v>
      </c>
      <c r="K56" s="6" t="s">
        <v>10</v>
      </c>
      <c r="L56" s="6" t="s">
        <v>11</v>
      </c>
      <c r="M56" s="7" t="s">
        <v>12</v>
      </c>
      <c r="N56" s="7" t="s">
        <v>13</v>
      </c>
      <c r="O56" s="4" t="s">
        <v>14</v>
      </c>
      <c r="P56" s="7" t="s">
        <v>15</v>
      </c>
      <c r="Q56" s="4" t="s">
        <v>16</v>
      </c>
      <c r="R56" s="4" t="s">
        <v>17</v>
      </c>
      <c r="S56" s="7" t="s">
        <v>18</v>
      </c>
      <c r="T56" s="4" t="s">
        <v>19</v>
      </c>
      <c r="U56" s="4" t="s">
        <v>81</v>
      </c>
      <c r="V56" s="4" t="s">
        <v>21</v>
      </c>
      <c r="W56" s="4" t="s">
        <v>22</v>
      </c>
      <c r="X56" s="9" t="s">
        <v>23</v>
      </c>
      <c r="Y56" s="9" t="s">
        <v>24</v>
      </c>
      <c r="Z56" s="4" t="s">
        <v>25</v>
      </c>
      <c r="AA56" s="4" t="s">
        <v>26</v>
      </c>
      <c r="AB56" s="4" t="s">
        <v>27</v>
      </c>
      <c r="AC56" s="4" t="s">
        <v>28</v>
      </c>
    </row>
    <row r="57">
      <c r="A57" s="63" t="s">
        <v>29</v>
      </c>
      <c r="B57" s="64">
        <f>I61/E129</f>
        <v>0</v>
      </c>
      <c r="C57" s="11">
        <f>I57/E129</f>
        <v>0</v>
      </c>
      <c r="D57" s="40" t="s">
        <v>89</v>
      </c>
      <c r="E57" s="40" t="s">
        <v>90</v>
      </c>
      <c r="F57" s="41">
        <v>8.1</v>
      </c>
      <c r="G57" s="14">
        <v>350.0</v>
      </c>
      <c r="H57" s="15">
        <f t="shared" ref="H57:H60" si="22">G57*J57</f>
        <v>249315.5</v>
      </c>
      <c r="I57" s="29">
        <v>0.0</v>
      </c>
      <c r="J57" s="16">
        <v>712.33</v>
      </c>
      <c r="K57" s="17">
        <f>IFERROR(__xludf.DUMMYFUNCTION("GOOGLEFINANCE(E57,""changepct"")"),1.11)</f>
        <v>1.11</v>
      </c>
      <c r="L57" s="18">
        <f>IFERROR(__xludf.DUMMYFUNCTION("googlefinance(E57,""price"")"),672.36)</f>
        <v>672.36</v>
      </c>
      <c r="M57" s="30">
        <v>727.5</v>
      </c>
      <c r="N57" s="20">
        <f t="shared" ref="N57:N60" si="23">L57-J57</f>
        <v>-39.97</v>
      </c>
      <c r="O57" s="21">
        <f t="shared" ref="O57:O60" si="24">M57/J57-1</f>
        <v>0.02129630929</v>
      </c>
      <c r="P57" s="15">
        <f t="shared" ref="P57:P60" si="25">H57*O57</f>
        <v>5309.5</v>
      </c>
      <c r="Q57" s="31"/>
      <c r="R57" s="23"/>
      <c r="S57" s="19"/>
      <c r="T57" s="23"/>
      <c r="U57" s="23"/>
      <c r="V57" s="33" t="s">
        <v>90</v>
      </c>
      <c r="W57" s="34">
        <v>45713.0</v>
      </c>
      <c r="X57" s="30">
        <v>727.5</v>
      </c>
      <c r="Y57" s="35">
        <v>254625.0</v>
      </c>
      <c r="Z57" s="12"/>
      <c r="AA57" s="45"/>
      <c r="AB57" s="20"/>
      <c r="AC57" s="15"/>
    </row>
    <row r="58">
      <c r="A58" s="36"/>
      <c r="B58" s="26"/>
      <c r="C58" s="11">
        <f>I58/E129</f>
        <v>0</v>
      </c>
      <c r="D58" s="40" t="s">
        <v>91</v>
      </c>
      <c r="E58" s="40" t="s">
        <v>92</v>
      </c>
      <c r="F58" s="41">
        <v>8.2</v>
      </c>
      <c r="G58" s="14">
        <v>1500.0</v>
      </c>
      <c r="H58" s="15">
        <f t="shared" si="22"/>
        <v>390960</v>
      </c>
      <c r="I58" s="29">
        <v>0.0</v>
      </c>
      <c r="J58" s="16">
        <v>260.64</v>
      </c>
      <c r="K58" s="17">
        <f>IFERROR(__xludf.DUMMYFUNCTION("GOOGLEFINANCE(E58,""changepct"")"),-0.91)</f>
        <v>-0.91</v>
      </c>
      <c r="L58" s="18">
        <f>IFERROR(__xludf.DUMMYFUNCTION("googlefinance(E58,""price"")"),315.75)</f>
        <v>315.75</v>
      </c>
      <c r="M58" s="30">
        <v>316.8</v>
      </c>
      <c r="N58" s="20">
        <f t="shared" si="23"/>
        <v>55.11</v>
      </c>
      <c r="O58" s="21">
        <f t="shared" si="24"/>
        <v>0.2154696133</v>
      </c>
      <c r="P58" s="15">
        <f t="shared" si="25"/>
        <v>84240</v>
      </c>
      <c r="Q58" s="11">
        <v>0.033</v>
      </c>
      <c r="R58" s="23"/>
      <c r="S58" s="19"/>
      <c r="T58" s="23"/>
      <c r="U58" s="23"/>
      <c r="V58" s="33" t="s">
        <v>92</v>
      </c>
      <c r="W58" s="34">
        <v>45713.0</v>
      </c>
      <c r="X58" s="30">
        <v>316.8</v>
      </c>
      <c r="Y58" s="35">
        <v>475200.0</v>
      </c>
      <c r="Z58" s="12"/>
      <c r="AA58" s="45"/>
      <c r="AB58" s="20"/>
      <c r="AC58" s="15"/>
    </row>
    <row r="59">
      <c r="A59" s="36"/>
      <c r="B59" s="26"/>
      <c r="C59" s="11">
        <f>I59/E129</f>
        <v>0</v>
      </c>
      <c r="D59" s="40" t="s">
        <v>93</v>
      </c>
      <c r="E59" s="40" t="s">
        <v>94</v>
      </c>
      <c r="F59" s="41">
        <v>8.0</v>
      </c>
      <c r="G59" s="14">
        <v>12000.0</v>
      </c>
      <c r="H59" s="15">
        <f t="shared" si="22"/>
        <v>318360</v>
      </c>
      <c r="I59" s="29">
        <v>0.0</v>
      </c>
      <c r="J59" s="16">
        <v>26.53</v>
      </c>
      <c r="K59" s="17">
        <f>IFERROR(__xludf.DUMMYFUNCTION("GOOGLEFINANCE(E59,""changepct"")"),-0.38)</f>
        <v>-0.38</v>
      </c>
      <c r="L59" s="18">
        <f>IFERROR(__xludf.DUMMYFUNCTION("googlefinance(E59,""price"")"),26.21)</f>
        <v>26.21</v>
      </c>
      <c r="M59" s="30">
        <v>26.95</v>
      </c>
      <c r="N59" s="20">
        <f t="shared" si="23"/>
        <v>-0.32</v>
      </c>
      <c r="O59" s="21">
        <f t="shared" si="24"/>
        <v>0.01583113456</v>
      </c>
      <c r="P59" s="15">
        <f t="shared" si="25"/>
        <v>5040</v>
      </c>
      <c r="Q59" s="11">
        <v>0.066</v>
      </c>
      <c r="R59" s="23"/>
      <c r="S59" s="19"/>
      <c r="T59" s="23"/>
      <c r="U59" s="23"/>
      <c r="V59" s="33" t="s">
        <v>94</v>
      </c>
      <c r="W59" s="34">
        <v>45713.0</v>
      </c>
      <c r="X59" s="30">
        <v>26.95</v>
      </c>
      <c r="Y59" s="35">
        <v>232400.0</v>
      </c>
      <c r="Z59" s="12"/>
      <c r="AA59" s="45"/>
      <c r="AB59" s="20"/>
      <c r="AC59" s="15"/>
    </row>
    <row r="60">
      <c r="A60" s="36"/>
      <c r="B60" s="26"/>
      <c r="C60" s="11">
        <f>I60/E129</f>
        <v>0</v>
      </c>
      <c r="D60" s="40" t="s">
        <v>95</v>
      </c>
      <c r="E60" s="40" t="s">
        <v>96</v>
      </c>
      <c r="F60" s="41">
        <v>7.2</v>
      </c>
      <c r="G60" s="14">
        <v>500.0</v>
      </c>
      <c r="H60" s="15">
        <f t="shared" si="22"/>
        <v>252930</v>
      </c>
      <c r="I60" s="29">
        <v>0.0</v>
      </c>
      <c r="J60" s="16">
        <v>505.86</v>
      </c>
      <c r="K60" s="17">
        <f>IFERROR(__xludf.DUMMYFUNCTION("GOOGLEFINANCE(E60,""changepct"")"),-0.12)</f>
        <v>-0.12</v>
      </c>
      <c r="L60" s="18">
        <f>IFERROR(__xludf.DUMMYFUNCTION("googlefinance(E60,""price"")"),503.2)</f>
        <v>503.2</v>
      </c>
      <c r="M60" s="30">
        <v>523.8</v>
      </c>
      <c r="N60" s="20">
        <f t="shared" si="23"/>
        <v>-2.66</v>
      </c>
      <c r="O60" s="21">
        <f t="shared" si="24"/>
        <v>0.03546435773</v>
      </c>
      <c r="P60" s="15">
        <f t="shared" si="25"/>
        <v>8970</v>
      </c>
      <c r="Q60" s="11">
        <v>0.015</v>
      </c>
      <c r="R60" s="23"/>
      <c r="S60" s="19"/>
      <c r="T60" s="23"/>
      <c r="U60" s="23"/>
      <c r="V60" s="33" t="s">
        <v>96</v>
      </c>
      <c r="W60" s="34">
        <v>45307.0</v>
      </c>
      <c r="X60" s="30">
        <v>523.8</v>
      </c>
      <c r="Y60" s="35">
        <v>261900.0</v>
      </c>
      <c r="Z60" s="12"/>
      <c r="AA60" s="45"/>
      <c r="AB60" s="20"/>
      <c r="AC60" s="15"/>
    </row>
    <row r="61">
      <c r="A61" s="55"/>
      <c r="B61" s="56"/>
      <c r="C61" s="4" t="s">
        <v>97</v>
      </c>
      <c r="D61" s="56"/>
      <c r="E61" s="56"/>
      <c r="F61" s="56"/>
      <c r="G61" s="56"/>
      <c r="H61" s="58">
        <f t="shared" ref="H61:I61" si="26">SUM(H57:H60)</f>
        <v>1211565.5</v>
      </c>
      <c r="I61" s="59">
        <f t="shared" si="26"/>
        <v>0</v>
      </c>
      <c r="J61" s="74"/>
      <c r="K61" s="60"/>
      <c r="L61" s="60"/>
      <c r="M61" s="56"/>
      <c r="N61" s="56"/>
      <c r="O61" s="75">
        <f>P61/H61</f>
        <v>0.08547577494</v>
      </c>
      <c r="P61" s="59">
        <f>SUM(P57:P60)</f>
        <v>103559.5</v>
      </c>
      <c r="Q61" s="56"/>
      <c r="R61" s="76">
        <f>SUM(R57:R60)</f>
        <v>0</v>
      </c>
      <c r="S61" s="56"/>
      <c r="T61" s="76">
        <v>0.0</v>
      </c>
      <c r="U61" s="56"/>
      <c r="V61" s="56"/>
      <c r="W61" s="56"/>
      <c r="X61" s="60"/>
      <c r="Y61" s="58">
        <f>SUM(Y57:Y60)</f>
        <v>1224125</v>
      </c>
      <c r="Z61" s="56"/>
      <c r="AA61" s="56"/>
      <c r="AB61" s="56"/>
      <c r="AC61" s="58">
        <f>SUM(AC57:AC60)</f>
        <v>0</v>
      </c>
    </row>
    <row r="62">
      <c r="A62" s="55"/>
      <c r="B62" s="4" t="s">
        <v>98</v>
      </c>
      <c r="C62" s="4" t="s">
        <v>2</v>
      </c>
      <c r="D62" s="4" t="s">
        <v>3</v>
      </c>
      <c r="E62" s="4" t="s">
        <v>4</v>
      </c>
      <c r="F62" s="4" t="s">
        <v>5</v>
      </c>
      <c r="G62" s="4" t="s">
        <v>6</v>
      </c>
      <c r="H62" s="4" t="s">
        <v>7</v>
      </c>
      <c r="I62" s="5" t="s">
        <v>8</v>
      </c>
      <c r="J62" s="5" t="s">
        <v>9</v>
      </c>
      <c r="K62" s="6" t="s">
        <v>10</v>
      </c>
      <c r="L62" s="6" t="s">
        <v>11</v>
      </c>
      <c r="M62" s="7" t="s">
        <v>12</v>
      </c>
      <c r="N62" s="7" t="s">
        <v>13</v>
      </c>
      <c r="O62" s="4" t="s">
        <v>14</v>
      </c>
      <c r="P62" s="7" t="s">
        <v>15</v>
      </c>
      <c r="Q62" s="4" t="s">
        <v>16</v>
      </c>
      <c r="R62" s="4" t="s">
        <v>17</v>
      </c>
      <c r="S62" s="7" t="s">
        <v>18</v>
      </c>
      <c r="T62" s="4" t="s">
        <v>19</v>
      </c>
      <c r="U62" s="4" t="s">
        <v>81</v>
      </c>
      <c r="V62" s="4" t="s">
        <v>21</v>
      </c>
      <c r="W62" s="4" t="s">
        <v>22</v>
      </c>
      <c r="X62" s="9" t="s">
        <v>23</v>
      </c>
      <c r="Y62" s="9" t="s">
        <v>24</v>
      </c>
      <c r="Z62" s="4" t="s">
        <v>25</v>
      </c>
      <c r="AA62" s="4" t="s">
        <v>26</v>
      </c>
      <c r="AB62" s="4" t="s">
        <v>27</v>
      </c>
      <c r="AC62" s="4" t="s">
        <v>28</v>
      </c>
    </row>
    <row r="63">
      <c r="A63" s="63" t="s">
        <v>29</v>
      </c>
      <c r="B63" s="64">
        <f>I68/E129</f>
        <v>0.02485013116</v>
      </c>
      <c r="C63" s="65">
        <f>I63/E129</f>
        <v>0</v>
      </c>
      <c r="D63" s="40" t="s">
        <v>99</v>
      </c>
      <c r="E63" s="40" t="s">
        <v>100</v>
      </c>
      <c r="F63" s="41">
        <v>7.8</v>
      </c>
      <c r="G63" s="77">
        <v>1000.0</v>
      </c>
      <c r="H63" s="72">
        <f t="shared" ref="H63:H67" si="27">G63*J63</f>
        <v>263490</v>
      </c>
      <c r="I63" s="78">
        <v>0.0</v>
      </c>
      <c r="J63" s="79">
        <v>263.49</v>
      </c>
      <c r="K63" s="17">
        <f>IFERROR(__xludf.DUMMYFUNCTION("GOOGLEFINANCE(E63,""changepct"")"),0.17)</f>
        <v>0.17</v>
      </c>
      <c r="L63" s="80">
        <f>IFERROR(__xludf.DUMMYFUNCTION("googlefinance(E63,""price"")"),267.97)</f>
        <v>267.97</v>
      </c>
      <c r="M63" s="37">
        <v>249.0</v>
      </c>
      <c r="N63" s="80">
        <f t="shared" ref="N63:N67" si="28">L63-J63</f>
        <v>4.48</v>
      </c>
      <c r="O63" s="21">
        <f t="shared" ref="O63:O64" si="29">M63/J63-1</f>
        <v>-0.05499259934</v>
      </c>
      <c r="P63" s="81">
        <f t="shared" ref="P63:P67" si="30">H63*O63</f>
        <v>-14490</v>
      </c>
      <c r="Q63" s="65">
        <v>0.022</v>
      </c>
      <c r="R63" s="48"/>
      <c r="S63" s="48"/>
      <c r="T63" s="48"/>
      <c r="U63" s="48"/>
      <c r="V63" s="39" t="s">
        <v>100</v>
      </c>
      <c r="W63" s="53">
        <v>45713.0</v>
      </c>
      <c r="X63" s="82">
        <v>249.0</v>
      </c>
      <c r="Y63" s="70">
        <v>249000.0</v>
      </c>
      <c r="Z63" s="40"/>
      <c r="AA63" s="83"/>
      <c r="AB63" s="84"/>
      <c r="AC63" s="72"/>
    </row>
    <row r="64">
      <c r="A64" s="47"/>
      <c r="B64" s="48"/>
      <c r="C64" s="65">
        <f>I64/E129</f>
        <v>0</v>
      </c>
      <c r="D64" s="40" t="s">
        <v>101</v>
      </c>
      <c r="E64" s="40" t="s">
        <v>102</v>
      </c>
      <c r="F64" s="41">
        <v>7.7</v>
      </c>
      <c r="G64" s="77">
        <v>800.0</v>
      </c>
      <c r="H64" s="72">
        <f t="shared" si="27"/>
        <v>388752</v>
      </c>
      <c r="I64" s="78">
        <v>0.0</v>
      </c>
      <c r="J64" s="79">
        <v>485.94</v>
      </c>
      <c r="K64" s="17">
        <f>IFERROR(__xludf.DUMMYFUNCTION("GOOGLEFINANCE(E64,""changepct"")"),0.27)</f>
        <v>0.27</v>
      </c>
      <c r="L64" s="80">
        <f>IFERROR(__xludf.DUMMYFUNCTION("googlefinance(E64,""price"")"),470.55)</f>
        <v>470.55</v>
      </c>
      <c r="M64" s="37">
        <v>466.66</v>
      </c>
      <c r="N64" s="80">
        <f t="shared" si="28"/>
        <v>-15.39</v>
      </c>
      <c r="O64" s="21">
        <f t="shared" si="29"/>
        <v>-0.03967568013</v>
      </c>
      <c r="P64" s="81">
        <f t="shared" si="30"/>
        <v>-15424</v>
      </c>
      <c r="Q64" s="65">
        <v>0.027</v>
      </c>
      <c r="R64" s="48"/>
      <c r="S64" s="48"/>
      <c r="T64" s="48"/>
      <c r="U64" s="48"/>
      <c r="V64" s="39" t="s">
        <v>102</v>
      </c>
      <c r="W64" s="53">
        <v>45685.0</v>
      </c>
      <c r="X64" s="82">
        <v>466.66</v>
      </c>
      <c r="Y64" s="70">
        <v>373328.0</v>
      </c>
      <c r="Z64" s="40"/>
      <c r="AA64" s="83"/>
      <c r="AB64" s="84"/>
      <c r="AC64" s="72"/>
    </row>
    <row r="65">
      <c r="A65" s="47"/>
      <c r="B65" s="48"/>
      <c r="C65" s="65">
        <f>I65/E129</f>
        <v>0.02485013116</v>
      </c>
      <c r="D65" s="43" t="s">
        <v>103</v>
      </c>
      <c r="E65" s="43" t="s">
        <v>104</v>
      </c>
      <c r="F65" s="41">
        <v>7.9</v>
      </c>
      <c r="G65" s="67">
        <v>1200.0</v>
      </c>
      <c r="H65" s="72">
        <f t="shared" si="27"/>
        <v>582480</v>
      </c>
      <c r="I65" s="81">
        <f>H65+P65</f>
        <v>681732</v>
      </c>
      <c r="J65" s="79">
        <v>485.4</v>
      </c>
      <c r="K65" s="17">
        <f>IFERROR(__xludf.DUMMYFUNCTION("GOOGLEFINANCE(E65,""changepct"")"),5.21)</f>
        <v>5.21</v>
      </c>
      <c r="L65" s="80">
        <f>IFERROR(__xludf.DUMMYFUNCTION("googlefinance(E65,""price"")"),568.11)</f>
        <v>568.11</v>
      </c>
      <c r="M65" s="22"/>
      <c r="N65" s="80">
        <f t="shared" si="28"/>
        <v>82.71</v>
      </c>
      <c r="O65" s="21">
        <f>L65/J65-1</f>
        <v>0.1703955501</v>
      </c>
      <c r="P65" s="81">
        <f t="shared" si="30"/>
        <v>99252</v>
      </c>
      <c r="Q65" s="65"/>
      <c r="R65" s="48"/>
      <c r="S65" s="48"/>
      <c r="T65" s="48"/>
      <c r="U65" s="48"/>
      <c r="V65" s="42"/>
      <c r="W65" s="48"/>
      <c r="X65" s="85"/>
      <c r="Y65" s="69"/>
      <c r="Z65" s="43" t="s">
        <v>104</v>
      </c>
      <c r="AA65" s="86">
        <v>45713.0</v>
      </c>
      <c r="AB65" s="79">
        <v>485.4</v>
      </c>
      <c r="AC65" s="54">
        <v>485400.0</v>
      </c>
    </row>
    <row r="66">
      <c r="A66" s="47"/>
      <c r="B66" s="48"/>
      <c r="C66" s="65">
        <f>I66/E129</f>
        <v>0</v>
      </c>
      <c r="D66" s="40" t="s">
        <v>105</v>
      </c>
      <c r="E66" s="40" t="s">
        <v>106</v>
      </c>
      <c r="F66" s="41">
        <v>7.8</v>
      </c>
      <c r="G66" s="77">
        <v>1000.0</v>
      </c>
      <c r="H66" s="72">
        <f t="shared" si="27"/>
        <v>469290</v>
      </c>
      <c r="I66" s="78">
        <v>0.0</v>
      </c>
      <c r="J66" s="79">
        <v>469.29</v>
      </c>
      <c r="K66" s="17">
        <f>IFERROR(__xludf.DUMMYFUNCTION("GOOGLEFINANCE(E66,""changepct"")"),0.35)</f>
        <v>0.35</v>
      </c>
      <c r="L66" s="80">
        <f>IFERROR(__xludf.DUMMYFUNCTION("googlefinance(E66,""price"")"),491.52)</f>
        <v>491.52</v>
      </c>
      <c r="M66" s="37">
        <v>471.68</v>
      </c>
      <c r="N66" s="80">
        <f t="shared" si="28"/>
        <v>22.23</v>
      </c>
      <c r="O66" s="21">
        <f t="shared" ref="O66:O67" si="31">M66/J66-1</f>
        <v>0.005092799761</v>
      </c>
      <c r="P66" s="81">
        <f t="shared" si="30"/>
        <v>2390</v>
      </c>
      <c r="Q66" s="65">
        <v>0.018</v>
      </c>
      <c r="R66" s="48"/>
      <c r="S66" s="48"/>
      <c r="T66" s="48"/>
      <c r="U66" s="48"/>
      <c r="V66" s="39" t="s">
        <v>106</v>
      </c>
      <c r="W66" s="53">
        <v>45722.0</v>
      </c>
      <c r="X66" s="82">
        <v>471.68</v>
      </c>
      <c r="Y66" s="70">
        <v>471680.0</v>
      </c>
      <c r="Z66" s="40"/>
      <c r="AA66" s="83"/>
      <c r="AB66" s="84"/>
      <c r="AC66" s="72"/>
    </row>
    <row r="67">
      <c r="A67" s="47"/>
      <c r="B67" s="48"/>
      <c r="C67" s="65">
        <f>I67/E129</f>
        <v>0</v>
      </c>
      <c r="D67" s="40" t="s">
        <v>107</v>
      </c>
      <c r="E67" s="40" t="s">
        <v>108</v>
      </c>
      <c r="F67" s="41">
        <v>7.7</v>
      </c>
      <c r="G67" s="67">
        <v>2000.0</v>
      </c>
      <c r="H67" s="72">
        <f t="shared" si="27"/>
        <v>420560</v>
      </c>
      <c r="I67" s="78">
        <v>0.0</v>
      </c>
      <c r="J67" s="79">
        <v>210.28</v>
      </c>
      <c r="K67" s="17">
        <f>IFERROR(__xludf.DUMMYFUNCTION("GOOGLEFINANCE(E67,""changepct"")"),0.29)</f>
        <v>0.29</v>
      </c>
      <c r="L67" s="80">
        <f>IFERROR(__xludf.DUMMYFUNCTION("googlefinance(E67,""price"")"),213.04)</f>
        <v>213.04</v>
      </c>
      <c r="M67" s="37">
        <v>209.38</v>
      </c>
      <c r="N67" s="80">
        <f t="shared" si="28"/>
        <v>2.76</v>
      </c>
      <c r="O67" s="21">
        <f t="shared" si="31"/>
        <v>-0.004280007609</v>
      </c>
      <c r="P67" s="81">
        <f t="shared" si="30"/>
        <v>-1800</v>
      </c>
      <c r="Q67" s="65">
        <v>0.022</v>
      </c>
      <c r="R67" s="48"/>
      <c r="S67" s="48"/>
      <c r="T67" s="48"/>
      <c r="U67" s="48"/>
      <c r="V67" s="39" t="s">
        <v>108</v>
      </c>
      <c r="W67" s="53">
        <v>45722.0</v>
      </c>
      <c r="X67" s="82">
        <v>209.38</v>
      </c>
      <c r="Y67" s="70">
        <v>418760.0</v>
      </c>
      <c r="Z67" s="40"/>
      <c r="AA67" s="83"/>
      <c r="AB67" s="84"/>
      <c r="AC67" s="72"/>
    </row>
    <row r="68">
      <c r="A68" s="55"/>
      <c r="B68" s="56"/>
      <c r="C68" s="4" t="s">
        <v>79</v>
      </c>
      <c r="D68" s="56"/>
      <c r="E68" s="56"/>
      <c r="F68" s="56"/>
      <c r="G68" s="56"/>
      <c r="H68" s="58">
        <f t="shared" ref="H68:I68" si="32">SUM(H63:H67)</f>
        <v>2124572</v>
      </c>
      <c r="I68" s="59">
        <f t="shared" si="32"/>
        <v>681732</v>
      </c>
      <c r="J68" s="74"/>
      <c r="K68" s="60"/>
      <c r="L68" s="60"/>
      <c r="M68" s="56"/>
      <c r="N68" s="56"/>
      <c r="O68" s="75">
        <f>P68/I68</f>
        <v>0.102574032</v>
      </c>
      <c r="P68" s="59">
        <f>SUM(P63:P67)</f>
        <v>69928</v>
      </c>
      <c r="Q68" s="56"/>
      <c r="R68" s="76">
        <f>SUM(R63:R67)</f>
        <v>0</v>
      </c>
      <c r="S68" s="56"/>
      <c r="T68" s="76">
        <v>0.0</v>
      </c>
      <c r="U68" s="56"/>
      <c r="V68" s="56"/>
      <c r="W68" s="56"/>
      <c r="X68" s="74"/>
      <c r="Y68" s="58">
        <f>SUM(Y63:Y67)</f>
        <v>1512768</v>
      </c>
      <c r="Z68" s="56"/>
      <c r="AA68" s="56"/>
      <c r="AB68" s="56"/>
      <c r="AC68" s="58">
        <f>SUM(AC63:AC67)</f>
        <v>485400</v>
      </c>
    </row>
    <row r="69">
      <c r="A69" s="55"/>
      <c r="B69" s="4" t="s">
        <v>109</v>
      </c>
      <c r="C69" s="4" t="s">
        <v>2</v>
      </c>
      <c r="D69" s="4" t="s">
        <v>3</v>
      </c>
      <c r="E69" s="4" t="s">
        <v>4</v>
      </c>
      <c r="F69" s="4" t="s">
        <v>5</v>
      </c>
      <c r="G69" s="4" t="s">
        <v>6</v>
      </c>
      <c r="H69" s="4" t="s">
        <v>7</v>
      </c>
      <c r="I69" s="5" t="s">
        <v>8</v>
      </c>
      <c r="J69" s="5" t="s">
        <v>9</v>
      </c>
      <c r="K69" s="6" t="s">
        <v>10</v>
      </c>
      <c r="L69" s="6" t="s">
        <v>11</v>
      </c>
      <c r="M69" s="7" t="s">
        <v>12</v>
      </c>
      <c r="N69" s="7" t="s">
        <v>13</v>
      </c>
      <c r="O69" s="4" t="s">
        <v>14</v>
      </c>
      <c r="P69" s="7" t="s">
        <v>15</v>
      </c>
      <c r="Q69" s="4" t="s">
        <v>16</v>
      </c>
      <c r="R69" s="4" t="s">
        <v>17</v>
      </c>
      <c r="S69" s="7" t="s">
        <v>18</v>
      </c>
      <c r="T69" s="4" t="s">
        <v>19</v>
      </c>
      <c r="U69" s="4" t="s">
        <v>81</v>
      </c>
      <c r="V69" s="4" t="s">
        <v>21</v>
      </c>
      <c r="W69" s="4" t="s">
        <v>22</v>
      </c>
      <c r="X69" s="9" t="s">
        <v>23</v>
      </c>
      <c r="Y69" s="9" t="s">
        <v>24</v>
      </c>
      <c r="Z69" s="4" t="s">
        <v>25</v>
      </c>
      <c r="AA69" s="4" t="s">
        <v>26</v>
      </c>
      <c r="AB69" s="4" t="s">
        <v>27</v>
      </c>
      <c r="AC69" s="4" t="s">
        <v>28</v>
      </c>
    </row>
    <row r="70">
      <c r="A70" s="87" t="s">
        <v>29</v>
      </c>
      <c r="B70" s="88">
        <f>I88/E129</f>
        <v>0.1497233051</v>
      </c>
      <c r="C70" s="11">
        <f>I70/E129</f>
        <v>0.01019547518</v>
      </c>
      <c r="D70" s="89" t="s">
        <v>110</v>
      </c>
      <c r="E70" s="12" t="s">
        <v>111</v>
      </c>
      <c r="F70" s="13">
        <v>8.0</v>
      </c>
      <c r="G70" s="14">
        <v>10000.0</v>
      </c>
      <c r="H70" s="15">
        <f t="shared" ref="H70:H87" si="33">G70*J70</f>
        <v>245800</v>
      </c>
      <c r="I70" s="15">
        <f t="shared" ref="I70:I74" si="34">H70+P70</f>
        <v>279700</v>
      </c>
      <c r="J70" s="16">
        <v>24.58</v>
      </c>
      <c r="K70" s="17">
        <f>IFERROR(__xludf.DUMMYFUNCTION("GOOGLEFINANCE(E70,""changepct"")"),2.83)</f>
        <v>2.83</v>
      </c>
      <c r="L70" s="20">
        <f>IFERROR(__xludf.DUMMYFUNCTION("googlefinance(E70,""price"")"),27.97)</f>
        <v>27.97</v>
      </c>
      <c r="M70" s="19"/>
      <c r="N70" s="20">
        <f t="shared" ref="N70:N87" si="35">L70-J70</f>
        <v>3.39</v>
      </c>
      <c r="O70" s="21">
        <f t="shared" ref="O70:O74" si="36">L70/J70-1</f>
        <v>0.1379170057</v>
      </c>
      <c r="P70" s="90">
        <f t="shared" ref="P70:P87" si="37">H70*O70</f>
        <v>33900</v>
      </c>
      <c r="Q70" s="26"/>
      <c r="R70" s="23"/>
      <c r="S70" s="19"/>
      <c r="T70" s="23"/>
      <c r="U70" s="23"/>
      <c r="V70" s="12"/>
      <c r="W70" s="45"/>
      <c r="X70" s="20"/>
      <c r="Y70" s="15"/>
      <c r="Z70" s="24"/>
      <c r="AA70" s="25"/>
      <c r="AB70" s="19"/>
      <c r="AC70" s="23"/>
    </row>
    <row r="71">
      <c r="A71" s="36"/>
      <c r="B71" s="26"/>
      <c r="C71" s="11">
        <f>I71/E129</f>
        <v>0.007977403444</v>
      </c>
      <c r="D71" s="89" t="s">
        <v>112</v>
      </c>
      <c r="E71" s="12" t="s">
        <v>113</v>
      </c>
      <c r="F71" s="13">
        <v>7.8</v>
      </c>
      <c r="G71" s="14">
        <v>7500.0</v>
      </c>
      <c r="H71" s="15">
        <f t="shared" si="33"/>
        <v>164400</v>
      </c>
      <c r="I71" s="15">
        <f t="shared" si="34"/>
        <v>218850</v>
      </c>
      <c r="J71" s="16">
        <v>21.92</v>
      </c>
      <c r="K71" s="17">
        <f>IFERROR(__xludf.DUMMYFUNCTION("GOOGLEFINANCE(E71,""changepct"")"),0.9)</f>
        <v>0.9</v>
      </c>
      <c r="L71" s="20">
        <f>IFERROR(__xludf.DUMMYFUNCTION("googlefinance(E71,""price"")"),29.18)</f>
        <v>29.18</v>
      </c>
      <c r="M71" s="19"/>
      <c r="N71" s="20">
        <f t="shared" si="35"/>
        <v>7.26</v>
      </c>
      <c r="O71" s="21">
        <f t="shared" si="36"/>
        <v>0.3312043796</v>
      </c>
      <c r="P71" s="90">
        <f t="shared" si="37"/>
        <v>54450</v>
      </c>
      <c r="Q71" s="31"/>
      <c r="R71" s="23"/>
      <c r="S71" s="19"/>
      <c r="T71" s="23"/>
      <c r="U71" s="23"/>
      <c r="V71" s="24"/>
      <c r="W71" s="25"/>
      <c r="X71" s="19"/>
      <c r="Y71" s="23"/>
      <c r="Z71" s="12"/>
      <c r="AA71" s="45"/>
      <c r="AB71" s="20"/>
      <c r="AC71" s="15"/>
    </row>
    <row r="72">
      <c r="A72" s="36"/>
      <c r="B72" s="26"/>
      <c r="C72" s="11">
        <f>I72/E129</f>
        <v>0.02416185457</v>
      </c>
      <c r="D72" s="91" t="s">
        <v>114</v>
      </c>
      <c r="E72" s="12" t="s">
        <v>115</v>
      </c>
      <c r="F72" s="13">
        <v>8.1</v>
      </c>
      <c r="G72" s="28">
        <v>15000.0</v>
      </c>
      <c r="H72" s="15">
        <f t="shared" si="33"/>
        <v>770850</v>
      </c>
      <c r="I72" s="15">
        <f t="shared" si="34"/>
        <v>662850</v>
      </c>
      <c r="J72" s="16">
        <v>51.39</v>
      </c>
      <c r="K72" s="17">
        <f>IFERROR(__xludf.DUMMYFUNCTION("GOOGLEFINANCE(E72,""changepct"")"),2.55)</f>
        <v>2.55</v>
      </c>
      <c r="L72" s="20">
        <f>IFERROR(__xludf.DUMMYFUNCTION("googlefinance(E72,""price"")"),44.19)</f>
        <v>44.19</v>
      </c>
      <c r="M72" s="19"/>
      <c r="N72" s="20">
        <f t="shared" si="35"/>
        <v>-7.2</v>
      </c>
      <c r="O72" s="21">
        <f t="shared" si="36"/>
        <v>-0.1401050788</v>
      </c>
      <c r="P72" s="90">
        <f t="shared" si="37"/>
        <v>-108000</v>
      </c>
      <c r="Q72" s="31"/>
      <c r="R72" s="23"/>
      <c r="S72" s="19"/>
      <c r="T72" s="23"/>
      <c r="U72" s="23"/>
      <c r="V72" s="24"/>
      <c r="W72" s="25"/>
      <c r="X72" s="19"/>
      <c r="Y72" s="23"/>
      <c r="Z72" s="12"/>
      <c r="AA72" s="45"/>
      <c r="AB72" s="20"/>
      <c r="AC72" s="15"/>
    </row>
    <row r="73">
      <c r="A73" s="36"/>
      <c r="B73" s="26"/>
      <c r="C73" s="11">
        <f>I73/E129</f>
        <v>0.02044927271</v>
      </c>
      <c r="D73" s="89" t="s">
        <v>116</v>
      </c>
      <c r="E73" s="12" t="s">
        <v>117</v>
      </c>
      <c r="F73" s="13">
        <v>8.0</v>
      </c>
      <c r="G73" s="28">
        <v>20000.0</v>
      </c>
      <c r="H73" s="15">
        <f t="shared" si="33"/>
        <v>424600</v>
      </c>
      <c r="I73" s="15">
        <f t="shared" si="34"/>
        <v>561000</v>
      </c>
      <c r="J73" s="16">
        <v>21.23</v>
      </c>
      <c r="K73" s="17">
        <f>IFERROR(__xludf.DUMMYFUNCTION("GOOGLEFINANCE(E73,""changepct"")"),7.8)</f>
        <v>7.8</v>
      </c>
      <c r="L73" s="20">
        <f>IFERROR(__xludf.DUMMYFUNCTION("googlefinance(E73,""price"")"),28.05)</f>
        <v>28.05</v>
      </c>
      <c r="M73" s="30"/>
      <c r="N73" s="20">
        <f t="shared" si="35"/>
        <v>6.82</v>
      </c>
      <c r="O73" s="21">
        <f t="shared" si="36"/>
        <v>0.3212435233</v>
      </c>
      <c r="P73" s="90">
        <f t="shared" si="37"/>
        <v>136400</v>
      </c>
      <c r="Q73" s="31"/>
      <c r="R73" s="23"/>
      <c r="S73" s="30"/>
      <c r="T73" s="35">
        <v>37500.0</v>
      </c>
      <c r="U73" s="23"/>
      <c r="V73" s="24"/>
      <c r="W73" s="25"/>
      <c r="X73" s="19"/>
      <c r="Y73" s="23"/>
      <c r="Z73" s="12"/>
      <c r="AA73" s="45"/>
      <c r="AB73" s="20"/>
      <c r="AC73" s="15"/>
    </row>
    <row r="74">
      <c r="A74" s="36"/>
      <c r="B74" s="26"/>
      <c r="C74" s="11">
        <f>I74/E129</f>
        <v>0.01022463635</v>
      </c>
      <c r="D74" s="89" t="s">
        <v>116</v>
      </c>
      <c r="E74" s="12" t="s">
        <v>117</v>
      </c>
      <c r="F74" s="13">
        <v>8.0</v>
      </c>
      <c r="G74" s="28">
        <v>10000.0</v>
      </c>
      <c r="H74" s="15">
        <f t="shared" si="33"/>
        <v>340400</v>
      </c>
      <c r="I74" s="15">
        <f t="shared" si="34"/>
        <v>280500</v>
      </c>
      <c r="J74" s="16">
        <v>34.04</v>
      </c>
      <c r="K74" s="17">
        <f>IFERROR(__xludf.DUMMYFUNCTION("GOOGLEFINANCE(E74,""changepct"")"),7.8)</f>
        <v>7.8</v>
      </c>
      <c r="L74" s="20">
        <f>IFERROR(__xludf.DUMMYFUNCTION("googlefinance(E74,""price"")"),28.05)</f>
        <v>28.05</v>
      </c>
      <c r="M74" s="30"/>
      <c r="N74" s="20">
        <f t="shared" si="35"/>
        <v>-5.99</v>
      </c>
      <c r="O74" s="21">
        <f t="shared" si="36"/>
        <v>-0.1759694477</v>
      </c>
      <c r="P74" s="90">
        <f t="shared" si="37"/>
        <v>-59900</v>
      </c>
      <c r="Q74" s="31"/>
      <c r="R74" s="23"/>
      <c r="S74" s="19"/>
      <c r="T74" s="23"/>
      <c r="U74" s="23"/>
      <c r="V74" s="33"/>
      <c r="W74" s="34"/>
      <c r="X74" s="30"/>
      <c r="Y74" s="35"/>
      <c r="Z74" s="38" t="s">
        <v>117</v>
      </c>
      <c r="AA74" s="46">
        <v>45712.0</v>
      </c>
      <c r="AB74" s="16">
        <v>34.04</v>
      </c>
      <c r="AC74" s="29">
        <v>340400.0</v>
      </c>
    </row>
    <row r="75">
      <c r="A75" s="36"/>
      <c r="B75" s="26"/>
      <c r="C75" s="11">
        <f>I75/E129</f>
        <v>0</v>
      </c>
      <c r="D75" s="89" t="s">
        <v>116</v>
      </c>
      <c r="E75" s="12" t="s">
        <v>117</v>
      </c>
      <c r="F75" s="13">
        <v>8.0</v>
      </c>
      <c r="G75" s="28">
        <v>5000.0</v>
      </c>
      <c r="H75" s="15">
        <f t="shared" si="33"/>
        <v>158500</v>
      </c>
      <c r="I75" s="29">
        <v>0.0</v>
      </c>
      <c r="J75" s="16">
        <v>31.7</v>
      </c>
      <c r="K75" s="17">
        <f>IFERROR(__xludf.DUMMYFUNCTION("GOOGLEFINANCE(E75,""changepct"")"),7.8)</f>
        <v>7.8</v>
      </c>
      <c r="L75" s="20">
        <f>IFERROR(__xludf.DUMMYFUNCTION("googlefinance(E75,""price"")"),28.05)</f>
        <v>28.05</v>
      </c>
      <c r="M75" s="30">
        <v>44.2</v>
      </c>
      <c r="N75" s="20">
        <f t="shared" si="35"/>
        <v>-3.65</v>
      </c>
      <c r="O75" s="21">
        <f t="shared" ref="O75:O76" si="38">M75/J75-1</f>
        <v>0.3943217666</v>
      </c>
      <c r="P75" s="90">
        <f t="shared" si="37"/>
        <v>62500</v>
      </c>
      <c r="Q75" s="31"/>
      <c r="R75" s="23"/>
      <c r="S75" s="19"/>
      <c r="T75" s="23"/>
      <c r="U75" s="23"/>
      <c r="V75" s="33" t="s">
        <v>117</v>
      </c>
      <c r="W75" s="34">
        <v>45688.0</v>
      </c>
      <c r="X75" s="30">
        <v>44.2</v>
      </c>
      <c r="Y75" s="35">
        <v>221000.0</v>
      </c>
      <c r="Z75" s="38" t="s">
        <v>117</v>
      </c>
      <c r="AA75" s="46">
        <v>45684.0</v>
      </c>
      <c r="AB75" s="16">
        <v>31.7</v>
      </c>
      <c r="AC75" s="29">
        <v>158500.0</v>
      </c>
    </row>
    <row r="76">
      <c r="A76" s="36"/>
      <c r="B76" s="26"/>
      <c r="C76" s="11">
        <f>I76/E129</f>
        <v>0</v>
      </c>
      <c r="D76" s="89" t="s">
        <v>116</v>
      </c>
      <c r="E76" s="12" t="s">
        <v>117</v>
      </c>
      <c r="F76" s="13">
        <v>8.0</v>
      </c>
      <c r="G76" s="28">
        <v>10000.0</v>
      </c>
      <c r="H76" s="15">
        <f t="shared" si="33"/>
        <v>212300</v>
      </c>
      <c r="I76" s="29">
        <v>0.0</v>
      </c>
      <c r="J76" s="16">
        <v>21.23</v>
      </c>
      <c r="K76" s="17">
        <f>IFERROR(__xludf.DUMMYFUNCTION("GOOGLEFINANCE(E76,""changepct"")"),7.8)</f>
        <v>7.8</v>
      </c>
      <c r="L76" s="20">
        <f>IFERROR(__xludf.DUMMYFUNCTION("googlefinance(E76,""price"")"),28.05)</f>
        <v>28.05</v>
      </c>
      <c r="M76" s="30">
        <v>34.44</v>
      </c>
      <c r="N76" s="20">
        <f t="shared" si="35"/>
        <v>6.82</v>
      </c>
      <c r="O76" s="21">
        <f t="shared" si="38"/>
        <v>0.6222326896</v>
      </c>
      <c r="P76" s="90">
        <f t="shared" si="37"/>
        <v>132100</v>
      </c>
      <c r="Q76" s="31"/>
      <c r="R76" s="23"/>
      <c r="S76" s="19"/>
      <c r="T76" s="23"/>
      <c r="U76" s="23"/>
      <c r="V76" s="33" t="s">
        <v>117</v>
      </c>
      <c r="W76" s="34">
        <v>45679.0</v>
      </c>
      <c r="X76" s="30">
        <v>34.44</v>
      </c>
      <c r="Y76" s="35">
        <v>344400.0</v>
      </c>
      <c r="Z76" s="12"/>
      <c r="AA76" s="45"/>
      <c r="AB76" s="20"/>
      <c r="AC76" s="15"/>
    </row>
    <row r="77">
      <c r="A77" s="36"/>
      <c r="B77" s="26"/>
      <c r="C77" s="11">
        <f>I77/E129</f>
        <v>0.007948242271</v>
      </c>
      <c r="D77" s="89" t="s">
        <v>118</v>
      </c>
      <c r="E77" s="12" t="s">
        <v>119</v>
      </c>
      <c r="F77" s="13">
        <v>8.2</v>
      </c>
      <c r="G77" s="14">
        <v>1000.0</v>
      </c>
      <c r="H77" s="15">
        <f t="shared" si="33"/>
        <v>223710</v>
      </c>
      <c r="I77" s="15">
        <f t="shared" ref="I77:I87" si="39">H77+P77</f>
        <v>218050</v>
      </c>
      <c r="J77" s="16">
        <v>223.71</v>
      </c>
      <c r="K77" s="17">
        <f>IFERROR(__xludf.DUMMYFUNCTION("GOOGLEFINANCE(E77,""changepct"")"),3.41)</f>
        <v>3.41</v>
      </c>
      <c r="L77" s="20">
        <f>IFERROR(__xludf.DUMMYFUNCTION("googlefinance(E77,""price"")"),218.05)</f>
        <v>218.05</v>
      </c>
      <c r="M77" s="19"/>
      <c r="N77" s="20">
        <f t="shared" si="35"/>
        <v>-5.66</v>
      </c>
      <c r="O77" s="21">
        <f t="shared" ref="O77:O87" si="40">L77/J77-1</f>
        <v>-0.0253006124</v>
      </c>
      <c r="P77" s="90">
        <f t="shared" si="37"/>
        <v>-5660</v>
      </c>
      <c r="Q77" s="31"/>
      <c r="R77" s="23"/>
      <c r="S77" s="19"/>
      <c r="T77" s="23"/>
      <c r="U77" s="23"/>
      <c r="V77" s="24"/>
      <c r="W77" s="25"/>
      <c r="X77" s="19"/>
      <c r="Y77" s="23"/>
      <c r="Z77" s="38"/>
      <c r="AA77" s="46"/>
      <c r="AB77" s="16"/>
      <c r="AC77" s="29"/>
    </row>
    <row r="78">
      <c r="A78" s="36"/>
      <c r="B78" s="26"/>
      <c r="C78" s="11">
        <f>I78/E129</f>
        <v>0.007948242271</v>
      </c>
      <c r="D78" s="89" t="s">
        <v>118</v>
      </c>
      <c r="E78" s="12" t="s">
        <v>119</v>
      </c>
      <c r="F78" s="13">
        <v>8.2</v>
      </c>
      <c r="G78" s="28">
        <v>1000.0</v>
      </c>
      <c r="H78" s="15">
        <f t="shared" si="33"/>
        <v>249800</v>
      </c>
      <c r="I78" s="15">
        <f t="shared" si="39"/>
        <v>218050</v>
      </c>
      <c r="J78" s="16">
        <v>249.8</v>
      </c>
      <c r="K78" s="17">
        <f>IFERROR(__xludf.DUMMYFUNCTION("GOOGLEFINANCE(E78,""changepct"")"),3.41)</f>
        <v>3.41</v>
      </c>
      <c r="L78" s="20">
        <f>IFERROR(__xludf.DUMMYFUNCTION("googlefinance(E78,""price"")"),218.05)</f>
        <v>218.05</v>
      </c>
      <c r="M78" s="19"/>
      <c r="N78" s="20">
        <f t="shared" si="35"/>
        <v>-31.75</v>
      </c>
      <c r="O78" s="21">
        <f t="shared" si="40"/>
        <v>-0.1271016813</v>
      </c>
      <c r="P78" s="90">
        <f t="shared" si="37"/>
        <v>-31750</v>
      </c>
      <c r="Q78" s="31"/>
      <c r="R78" s="23"/>
      <c r="S78" s="19"/>
      <c r="T78" s="23"/>
      <c r="U78" s="23"/>
      <c r="V78" s="24"/>
      <c r="W78" s="25"/>
      <c r="X78" s="19"/>
      <c r="Y78" s="23"/>
      <c r="Z78" s="38" t="s">
        <v>119</v>
      </c>
      <c r="AA78" s="46">
        <v>45713.0</v>
      </c>
      <c r="AB78" s="16">
        <v>249.8</v>
      </c>
      <c r="AC78" s="29">
        <v>249800.0</v>
      </c>
    </row>
    <row r="79">
      <c r="A79" s="36"/>
      <c r="B79" s="26"/>
      <c r="C79" s="11">
        <f>I79/E129</f>
        <v>0.003974121136</v>
      </c>
      <c r="D79" s="89" t="s">
        <v>118</v>
      </c>
      <c r="E79" s="12" t="s">
        <v>119</v>
      </c>
      <c r="F79" s="13">
        <v>8.2</v>
      </c>
      <c r="G79" s="28">
        <v>500.0</v>
      </c>
      <c r="H79" s="15">
        <f t="shared" si="33"/>
        <v>141700</v>
      </c>
      <c r="I79" s="15">
        <f t="shared" si="39"/>
        <v>109025</v>
      </c>
      <c r="J79" s="16">
        <v>283.4</v>
      </c>
      <c r="K79" s="17">
        <f>IFERROR(__xludf.DUMMYFUNCTION("GOOGLEFINANCE(E79,""changepct"")"),3.41)</f>
        <v>3.41</v>
      </c>
      <c r="L79" s="20">
        <f>IFERROR(__xludf.DUMMYFUNCTION("googlefinance(E79,""price"")"),218.05)</f>
        <v>218.05</v>
      </c>
      <c r="M79" s="19"/>
      <c r="N79" s="20">
        <f t="shared" si="35"/>
        <v>-65.35</v>
      </c>
      <c r="O79" s="21">
        <f t="shared" si="40"/>
        <v>-0.2305928017</v>
      </c>
      <c r="P79" s="90">
        <f t="shared" si="37"/>
        <v>-32675</v>
      </c>
      <c r="Q79" s="31"/>
      <c r="R79" s="23"/>
      <c r="S79" s="19"/>
      <c r="T79" s="23"/>
      <c r="U79" s="23"/>
      <c r="V79" s="24"/>
      <c r="W79" s="25"/>
      <c r="X79" s="19"/>
      <c r="Y79" s="23"/>
      <c r="Z79" s="38" t="s">
        <v>119</v>
      </c>
      <c r="AA79" s="46">
        <v>45684.0</v>
      </c>
      <c r="AB79" s="16">
        <v>283.4</v>
      </c>
      <c r="AC79" s="29">
        <v>141700.0</v>
      </c>
    </row>
    <row r="80">
      <c r="A80" s="36"/>
      <c r="B80" s="26"/>
      <c r="C80" s="11">
        <f>I80/E129</f>
        <v>0.003974121136</v>
      </c>
      <c r="D80" s="89" t="s">
        <v>118</v>
      </c>
      <c r="E80" s="12" t="s">
        <v>119</v>
      </c>
      <c r="F80" s="13">
        <v>8.2</v>
      </c>
      <c r="G80" s="28">
        <v>500.0</v>
      </c>
      <c r="H80" s="15">
        <f t="shared" si="33"/>
        <v>136375</v>
      </c>
      <c r="I80" s="15">
        <f t="shared" si="39"/>
        <v>109025</v>
      </c>
      <c r="J80" s="16">
        <v>272.75</v>
      </c>
      <c r="K80" s="17">
        <f>IFERROR(__xludf.DUMMYFUNCTION("GOOGLEFINANCE(E80,""changepct"")"),3.41)</f>
        <v>3.41</v>
      </c>
      <c r="L80" s="20">
        <f>IFERROR(__xludf.DUMMYFUNCTION("googlefinance(E80,""price"")"),218.05)</f>
        <v>218.05</v>
      </c>
      <c r="M80" s="19"/>
      <c r="N80" s="20">
        <f t="shared" si="35"/>
        <v>-54.7</v>
      </c>
      <c r="O80" s="21">
        <f t="shared" si="40"/>
        <v>-0.2005499542</v>
      </c>
      <c r="P80" s="90">
        <f t="shared" si="37"/>
        <v>-27350</v>
      </c>
      <c r="Q80" s="31"/>
      <c r="R80" s="23"/>
      <c r="S80" s="19"/>
      <c r="T80" s="23"/>
      <c r="U80" s="23"/>
      <c r="V80" s="24"/>
      <c r="W80" s="25"/>
      <c r="X80" s="19"/>
      <c r="Y80" s="23"/>
      <c r="Z80" s="38" t="s">
        <v>119</v>
      </c>
      <c r="AA80" s="46">
        <v>45685.0</v>
      </c>
      <c r="AB80" s="16">
        <v>272.75</v>
      </c>
      <c r="AC80" s="29">
        <v>136375.0</v>
      </c>
    </row>
    <row r="81">
      <c r="A81" s="36"/>
      <c r="B81" s="26"/>
      <c r="C81" s="11">
        <f>I81/E129</f>
        <v>0.009466445851</v>
      </c>
      <c r="D81" s="91" t="s">
        <v>120</v>
      </c>
      <c r="E81" s="38" t="s">
        <v>121</v>
      </c>
      <c r="F81" s="13">
        <v>8.3</v>
      </c>
      <c r="G81" s="28">
        <v>2000.0</v>
      </c>
      <c r="H81" s="15">
        <f t="shared" si="33"/>
        <v>298300</v>
      </c>
      <c r="I81" s="15">
        <f t="shared" si="39"/>
        <v>259700</v>
      </c>
      <c r="J81" s="16">
        <v>149.15</v>
      </c>
      <c r="K81" s="17">
        <f>IFERROR(__xludf.DUMMYFUNCTION("GOOGLEFINANCE(E81,""changepct"")"),4.33)</f>
        <v>4.33</v>
      </c>
      <c r="L81" s="20">
        <f>IFERROR(__xludf.DUMMYFUNCTION("googlefinance(E81,""price"")"),129.85)</f>
        <v>129.85</v>
      </c>
      <c r="M81" s="19"/>
      <c r="N81" s="20">
        <f t="shared" si="35"/>
        <v>-19.3</v>
      </c>
      <c r="O81" s="21">
        <f t="shared" si="40"/>
        <v>-0.129399933</v>
      </c>
      <c r="P81" s="90">
        <f t="shared" si="37"/>
        <v>-38600</v>
      </c>
      <c r="Q81" s="31"/>
      <c r="R81" s="23"/>
      <c r="S81" s="19"/>
      <c r="T81" s="23"/>
      <c r="U81" s="23"/>
      <c r="V81" s="24"/>
      <c r="W81" s="25"/>
      <c r="X81" s="19"/>
      <c r="Y81" s="23"/>
      <c r="Z81" s="38" t="s">
        <v>121</v>
      </c>
      <c r="AA81" s="46">
        <v>45684.0</v>
      </c>
      <c r="AB81" s="16">
        <v>149.15</v>
      </c>
      <c r="AC81" s="29">
        <v>298300.0</v>
      </c>
    </row>
    <row r="82">
      <c r="A82" s="36"/>
      <c r="B82" s="26"/>
      <c r="C82" s="11">
        <f>I82/E129</f>
        <v>0.009466445851</v>
      </c>
      <c r="D82" s="91" t="s">
        <v>120</v>
      </c>
      <c r="E82" s="38" t="s">
        <v>121</v>
      </c>
      <c r="F82" s="13">
        <v>8.3</v>
      </c>
      <c r="G82" s="28">
        <v>2000.0</v>
      </c>
      <c r="H82" s="15">
        <f t="shared" si="33"/>
        <v>285200</v>
      </c>
      <c r="I82" s="15">
        <f t="shared" si="39"/>
        <v>259700</v>
      </c>
      <c r="J82" s="16">
        <v>142.6</v>
      </c>
      <c r="K82" s="17">
        <f>IFERROR(__xludf.DUMMYFUNCTION("GOOGLEFINANCE(E82,""changepct"")"),4.33)</f>
        <v>4.33</v>
      </c>
      <c r="L82" s="20">
        <f>IFERROR(__xludf.DUMMYFUNCTION("googlefinance(E82,""price"")"),129.85)</f>
        <v>129.85</v>
      </c>
      <c r="M82" s="19"/>
      <c r="N82" s="20">
        <f t="shared" si="35"/>
        <v>-12.75</v>
      </c>
      <c r="O82" s="21">
        <f t="shared" si="40"/>
        <v>-0.08941093969</v>
      </c>
      <c r="P82" s="90">
        <f t="shared" si="37"/>
        <v>-25500</v>
      </c>
      <c r="Q82" s="31"/>
      <c r="R82" s="23"/>
      <c r="S82" s="19"/>
      <c r="T82" s="23"/>
      <c r="U82" s="23"/>
      <c r="V82" s="24"/>
      <c r="W82" s="25"/>
      <c r="X82" s="19"/>
      <c r="Y82" s="23"/>
      <c r="Z82" s="38" t="s">
        <v>121</v>
      </c>
      <c r="AA82" s="46">
        <v>45712.0</v>
      </c>
      <c r="AB82" s="16">
        <v>142.6</v>
      </c>
      <c r="AC82" s="29">
        <v>285200.0</v>
      </c>
    </row>
    <row r="83">
      <c r="A83" s="36"/>
      <c r="B83" s="26"/>
      <c r="C83" s="11">
        <f>I83/E129</f>
        <v>0.009466445851</v>
      </c>
      <c r="D83" s="91" t="s">
        <v>120</v>
      </c>
      <c r="E83" s="38" t="s">
        <v>121</v>
      </c>
      <c r="F83" s="13">
        <v>8.3</v>
      </c>
      <c r="G83" s="28">
        <v>2000.0</v>
      </c>
      <c r="H83" s="15">
        <f t="shared" si="33"/>
        <v>258000</v>
      </c>
      <c r="I83" s="15">
        <f t="shared" si="39"/>
        <v>259700</v>
      </c>
      <c r="J83" s="16">
        <v>129.0</v>
      </c>
      <c r="K83" s="17">
        <f>IFERROR(__xludf.DUMMYFUNCTION("GOOGLEFINANCE(E83,""changepct"")"),4.33)</f>
        <v>4.33</v>
      </c>
      <c r="L83" s="20">
        <f>IFERROR(__xludf.DUMMYFUNCTION("googlefinance(E83,""price"")"),129.85)</f>
        <v>129.85</v>
      </c>
      <c r="M83" s="19"/>
      <c r="N83" s="20">
        <f t="shared" si="35"/>
        <v>0.85</v>
      </c>
      <c r="O83" s="21">
        <f t="shared" si="40"/>
        <v>0.006589147287</v>
      </c>
      <c r="P83" s="90">
        <f t="shared" si="37"/>
        <v>1700</v>
      </c>
      <c r="Q83" s="31"/>
      <c r="R83" s="23"/>
      <c r="S83" s="19"/>
      <c r="T83" s="23"/>
      <c r="U83" s="23"/>
      <c r="V83" s="24"/>
      <c r="W83" s="25"/>
      <c r="X83" s="19"/>
      <c r="Y83" s="23"/>
      <c r="Z83" s="38" t="s">
        <v>121</v>
      </c>
      <c r="AA83" s="46">
        <v>45713.0</v>
      </c>
      <c r="AB83" s="16">
        <v>129.0</v>
      </c>
      <c r="AC83" s="29">
        <v>258000.0</v>
      </c>
    </row>
    <row r="84">
      <c r="A84" s="36"/>
      <c r="B84" s="26"/>
      <c r="C84" s="11">
        <f>I84/E129</f>
        <v>0.004733222925</v>
      </c>
      <c r="D84" s="91" t="s">
        <v>120</v>
      </c>
      <c r="E84" s="38" t="s">
        <v>121</v>
      </c>
      <c r="F84" s="13">
        <v>8.3</v>
      </c>
      <c r="G84" s="28">
        <v>1000.0</v>
      </c>
      <c r="H84" s="15">
        <f t="shared" si="33"/>
        <v>142300</v>
      </c>
      <c r="I84" s="15">
        <f t="shared" si="39"/>
        <v>129850</v>
      </c>
      <c r="J84" s="16">
        <v>142.3</v>
      </c>
      <c r="K84" s="17">
        <f>IFERROR(__xludf.DUMMYFUNCTION("GOOGLEFINANCE(E84,""changepct"")"),4.33)</f>
        <v>4.33</v>
      </c>
      <c r="L84" s="20">
        <f>IFERROR(__xludf.DUMMYFUNCTION("googlefinance(E84,""price"")"),129.85)</f>
        <v>129.85</v>
      </c>
      <c r="M84" s="19"/>
      <c r="N84" s="20">
        <f t="shared" si="35"/>
        <v>-12.45</v>
      </c>
      <c r="O84" s="21">
        <f t="shared" si="40"/>
        <v>-0.08749121574</v>
      </c>
      <c r="P84" s="90">
        <f t="shared" si="37"/>
        <v>-12450</v>
      </c>
      <c r="Q84" s="31"/>
      <c r="R84" s="23"/>
      <c r="S84" s="19"/>
      <c r="T84" s="23"/>
      <c r="U84" s="23"/>
      <c r="V84" s="24"/>
      <c r="W84" s="25"/>
      <c r="X84" s="19"/>
      <c r="Y84" s="23"/>
      <c r="Z84" s="38" t="s">
        <v>121</v>
      </c>
      <c r="AA84" s="46">
        <v>45685.0</v>
      </c>
      <c r="AB84" s="16">
        <v>142.3</v>
      </c>
      <c r="AC84" s="29">
        <v>142300.0</v>
      </c>
    </row>
    <row r="85">
      <c r="A85" s="36"/>
      <c r="B85" s="26"/>
      <c r="C85" s="11">
        <f>I85/E129</f>
        <v>0.005522397175</v>
      </c>
      <c r="D85" s="89" t="s">
        <v>122</v>
      </c>
      <c r="E85" s="12" t="s">
        <v>123</v>
      </c>
      <c r="F85" s="13">
        <v>7.9</v>
      </c>
      <c r="G85" s="28">
        <v>50000.0</v>
      </c>
      <c r="H85" s="15">
        <f t="shared" si="33"/>
        <v>148500</v>
      </c>
      <c r="I85" s="15">
        <f t="shared" si="39"/>
        <v>151500</v>
      </c>
      <c r="J85" s="16">
        <v>2.97</v>
      </c>
      <c r="K85" s="17">
        <f>IFERROR(__xludf.DUMMYFUNCTION("GOOGLEFINANCE(E85,""changepct"")"),0.0)</f>
        <v>0</v>
      </c>
      <c r="L85" s="20">
        <f>IFERROR(__xludf.DUMMYFUNCTION("googlefinance(E85,""price"")"),3.03)</f>
        <v>3.03</v>
      </c>
      <c r="M85" s="19"/>
      <c r="N85" s="20">
        <f t="shared" si="35"/>
        <v>0.06</v>
      </c>
      <c r="O85" s="21">
        <f t="shared" si="40"/>
        <v>0.0202020202</v>
      </c>
      <c r="P85" s="90">
        <f t="shared" si="37"/>
        <v>3000</v>
      </c>
      <c r="Q85" s="31"/>
      <c r="R85" s="23"/>
      <c r="S85" s="19"/>
      <c r="T85" s="23"/>
      <c r="U85" s="23"/>
      <c r="V85" s="24"/>
      <c r="W85" s="25"/>
      <c r="X85" s="19"/>
      <c r="Y85" s="23"/>
      <c r="Z85" s="12"/>
      <c r="AA85" s="45"/>
      <c r="AB85" s="20"/>
      <c r="AC85" s="15"/>
    </row>
    <row r="86">
      <c r="A86" s="36"/>
      <c r="B86" s="26"/>
      <c r="C86" s="11">
        <f>I86/E129</f>
        <v>0.005522397175</v>
      </c>
      <c r="D86" s="89" t="s">
        <v>122</v>
      </c>
      <c r="E86" s="12" t="s">
        <v>123</v>
      </c>
      <c r="F86" s="13">
        <v>7.9</v>
      </c>
      <c r="G86" s="28">
        <v>50000.0</v>
      </c>
      <c r="H86" s="15">
        <f t="shared" si="33"/>
        <v>172500</v>
      </c>
      <c r="I86" s="15">
        <f t="shared" si="39"/>
        <v>151500</v>
      </c>
      <c r="J86" s="16">
        <v>3.45</v>
      </c>
      <c r="K86" s="17">
        <f>IFERROR(__xludf.DUMMYFUNCTION("GOOGLEFINANCE(E86,""changepct"")"),0.0)</f>
        <v>0</v>
      </c>
      <c r="L86" s="20">
        <f>IFERROR(__xludf.DUMMYFUNCTION("googlefinance(E86,""price"")"),3.03)</f>
        <v>3.03</v>
      </c>
      <c r="M86" s="20"/>
      <c r="N86" s="20">
        <f t="shared" si="35"/>
        <v>-0.42</v>
      </c>
      <c r="O86" s="21">
        <f t="shared" si="40"/>
        <v>-0.1217391304</v>
      </c>
      <c r="P86" s="90">
        <f t="shared" si="37"/>
        <v>-21000</v>
      </c>
      <c r="Q86" s="11"/>
      <c r="R86" s="23"/>
      <c r="S86" s="19"/>
      <c r="T86" s="23"/>
      <c r="U86" s="23"/>
      <c r="V86" s="12"/>
      <c r="W86" s="45"/>
      <c r="X86" s="20"/>
      <c r="Y86" s="15"/>
      <c r="Z86" s="33" t="s">
        <v>123</v>
      </c>
      <c r="AA86" s="34">
        <v>45664.0</v>
      </c>
      <c r="AB86" s="30">
        <v>3.45</v>
      </c>
      <c r="AC86" s="35">
        <v>172500.0</v>
      </c>
    </row>
    <row r="87">
      <c r="A87" s="36"/>
      <c r="B87" s="26"/>
      <c r="C87" s="11">
        <f>I87/E129</f>
        <v>0.008692581217</v>
      </c>
      <c r="D87" s="89" t="s">
        <v>124</v>
      </c>
      <c r="E87" s="12" t="s">
        <v>125</v>
      </c>
      <c r="F87" s="92">
        <v>7.8</v>
      </c>
      <c r="G87" s="28">
        <v>3000.0</v>
      </c>
      <c r="H87" s="15">
        <f t="shared" si="33"/>
        <v>258240</v>
      </c>
      <c r="I87" s="15">
        <f t="shared" si="39"/>
        <v>238470</v>
      </c>
      <c r="J87" s="16">
        <v>86.08</v>
      </c>
      <c r="K87" s="17">
        <f>IFERROR(__xludf.DUMMYFUNCTION("GOOGLEFINANCE(E87,""changepct"")"),1.26)</f>
        <v>1.26</v>
      </c>
      <c r="L87" s="20">
        <f>IFERROR(__xludf.DUMMYFUNCTION("googlefinance(E87,""price"")"),79.49)</f>
        <v>79.49</v>
      </c>
      <c r="M87" s="20"/>
      <c r="N87" s="20">
        <f t="shared" si="35"/>
        <v>-6.59</v>
      </c>
      <c r="O87" s="21">
        <f t="shared" si="40"/>
        <v>-0.07655669145</v>
      </c>
      <c r="P87" s="90">
        <f t="shared" si="37"/>
        <v>-19770</v>
      </c>
      <c r="Q87" s="11">
        <v>0.015</v>
      </c>
      <c r="R87" s="23"/>
      <c r="S87" s="19"/>
      <c r="T87" s="23"/>
      <c r="U87" s="23"/>
      <c r="V87" s="12"/>
      <c r="W87" s="45"/>
      <c r="X87" s="20"/>
      <c r="Y87" s="15"/>
      <c r="Z87" s="24"/>
      <c r="AA87" s="25"/>
      <c r="AB87" s="19"/>
      <c r="AC87" s="23"/>
    </row>
    <row r="88">
      <c r="A88" s="55"/>
      <c r="B88" s="56"/>
      <c r="C88" s="4" t="s">
        <v>79</v>
      </c>
      <c r="D88" s="56"/>
      <c r="E88" s="56"/>
      <c r="F88" s="56"/>
      <c r="G88" s="73"/>
      <c r="H88" s="58">
        <f t="shared" ref="H88:I88" si="41">SUM(H70:H87)</f>
        <v>4631475</v>
      </c>
      <c r="I88" s="59">
        <f t="shared" si="41"/>
        <v>4107470</v>
      </c>
      <c r="J88" s="60"/>
      <c r="K88" s="60"/>
      <c r="L88" s="60"/>
      <c r="M88" s="56"/>
      <c r="N88" s="56"/>
      <c r="O88" s="61">
        <f>(P88+T88+U88+R88)/H88</f>
        <v>0.01703453004</v>
      </c>
      <c r="P88" s="59">
        <f>SUM(P70:P87)</f>
        <v>41395</v>
      </c>
      <c r="Q88" s="56"/>
      <c r="R88" s="58">
        <f>SUM(R70:R87)</f>
        <v>0</v>
      </c>
      <c r="S88" s="56"/>
      <c r="T88" s="58">
        <f t="shared" ref="T88:U88" si="42">SUM(T70:T87)</f>
        <v>37500</v>
      </c>
      <c r="U88" s="58">
        <f t="shared" si="42"/>
        <v>0</v>
      </c>
      <c r="V88" s="4"/>
      <c r="W88" s="56"/>
      <c r="X88" s="60"/>
      <c r="Y88" s="58">
        <f>SUM(Y70:Y87)</f>
        <v>565400</v>
      </c>
      <c r="Z88" s="4" t="s">
        <v>79</v>
      </c>
      <c r="AA88" s="56"/>
      <c r="AB88" s="60"/>
      <c r="AC88" s="58">
        <f>SUM(AC70:AC87)</f>
        <v>2183075</v>
      </c>
    </row>
    <row r="89">
      <c r="A89" s="55"/>
      <c r="B89" s="4" t="s">
        <v>126</v>
      </c>
      <c r="C89" s="4" t="s">
        <v>2</v>
      </c>
      <c r="D89" s="4" t="s">
        <v>127</v>
      </c>
      <c r="E89" s="4" t="s">
        <v>4</v>
      </c>
      <c r="F89" s="4" t="s">
        <v>5</v>
      </c>
      <c r="G89" s="4" t="s">
        <v>6</v>
      </c>
      <c r="H89" s="4" t="s">
        <v>7</v>
      </c>
      <c r="I89" s="5" t="s">
        <v>8</v>
      </c>
      <c r="J89" s="5" t="s">
        <v>9</v>
      </c>
      <c r="K89" s="6" t="s">
        <v>10</v>
      </c>
      <c r="L89" s="6" t="s">
        <v>11</v>
      </c>
      <c r="M89" s="7" t="s">
        <v>12</v>
      </c>
      <c r="N89" s="7" t="s">
        <v>13</v>
      </c>
      <c r="O89" s="4" t="s">
        <v>14</v>
      </c>
      <c r="P89" s="7" t="s">
        <v>15</v>
      </c>
      <c r="Q89" s="4" t="s">
        <v>16</v>
      </c>
      <c r="R89" s="4" t="s">
        <v>17</v>
      </c>
      <c r="S89" s="7" t="s">
        <v>18</v>
      </c>
      <c r="T89" s="4" t="s">
        <v>19</v>
      </c>
      <c r="U89" s="4" t="s">
        <v>81</v>
      </c>
      <c r="V89" s="4" t="s">
        <v>21</v>
      </c>
      <c r="W89" s="4" t="s">
        <v>22</v>
      </c>
      <c r="X89" s="9" t="s">
        <v>23</v>
      </c>
      <c r="Y89" s="9" t="s">
        <v>24</v>
      </c>
      <c r="Z89" s="4" t="s">
        <v>25</v>
      </c>
      <c r="AA89" s="4" t="s">
        <v>26</v>
      </c>
      <c r="AB89" s="4" t="s">
        <v>27</v>
      </c>
      <c r="AC89" s="4" t="s">
        <v>28</v>
      </c>
    </row>
    <row r="90">
      <c r="A90" s="63" t="s">
        <v>29</v>
      </c>
      <c r="B90" s="64">
        <f>I109/E129</f>
        <v>0.08500299731</v>
      </c>
      <c r="C90" s="11">
        <f>I90/E129</f>
        <v>0.02755730868</v>
      </c>
      <c r="D90" s="12" t="s">
        <v>128</v>
      </c>
      <c r="E90" s="12" t="s">
        <v>129</v>
      </c>
      <c r="F90" s="92">
        <v>8.5</v>
      </c>
      <c r="G90" s="14">
        <v>250.0</v>
      </c>
      <c r="H90" s="15">
        <f t="shared" ref="H90:H108" si="43">G90*J90</f>
        <v>656000</v>
      </c>
      <c r="I90" s="15">
        <f t="shared" ref="I90:I91" si="44">H90+P90</f>
        <v>756000</v>
      </c>
      <c r="J90" s="16">
        <v>2624.0</v>
      </c>
      <c r="K90" s="93"/>
      <c r="L90" s="94">
        <v>3024.0</v>
      </c>
      <c r="M90" s="95"/>
      <c r="N90" s="96">
        <f t="shared" ref="N90:N108" si="45">L90-J90</f>
        <v>400</v>
      </c>
      <c r="O90" s="21">
        <f t="shared" ref="O90:O91" si="46">L90/J90-1</f>
        <v>0.1524390244</v>
      </c>
      <c r="P90" s="90">
        <f t="shared" ref="P90:P108" si="47">H90*O90</f>
        <v>100000</v>
      </c>
      <c r="Q90" s="31"/>
      <c r="R90" s="23"/>
      <c r="S90" s="19"/>
      <c r="T90" s="23"/>
      <c r="U90" s="26"/>
      <c r="V90" s="24"/>
      <c r="W90" s="26"/>
      <c r="X90" s="19"/>
      <c r="Y90" s="23"/>
      <c r="Z90" s="26"/>
      <c r="AA90" s="26"/>
      <c r="AB90" s="19"/>
      <c r="AC90" s="23"/>
    </row>
    <row r="91">
      <c r="A91" s="97" t="s">
        <v>130</v>
      </c>
      <c r="B91" s="98">
        <f>I90+I91</f>
        <v>1096700</v>
      </c>
      <c r="C91" s="11">
        <f>I91/E129</f>
        <v>0.01241901464</v>
      </c>
      <c r="D91" s="12" t="s">
        <v>131</v>
      </c>
      <c r="E91" s="12" t="s">
        <v>132</v>
      </c>
      <c r="F91" s="92">
        <v>8.4</v>
      </c>
      <c r="G91" s="14">
        <v>10000.0</v>
      </c>
      <c r="H91" s="15">
        <f t="shared" si="43"/>
        <v>289000</v>
      </c>
      <c r="I91" s="15">
        <f t="shared" si="44"/>
        <v>340700</v>
      </c>
      <c r="J91" s="16">
        <v>28.9</v>
      </c>
      <c r="K91" s="93"/>
      <c r="L91" s="99">
        <v>34.07</v>
      </c>
      <c r="M91" s="19"/>
      <c r="N91" s="20">
        <f t="shared" si="45"/>
        <v>5.17</v>
      </c>
      <c r="O91" s="21">
        <f t="shared" si="46"/>
        <v>0.1788927336</v>
      </c>
      <c r="P91" s="15">
        <f t="shared" si="47"/>
        <v>51700</v>
      </c>
      <c r="Q91" s="31"/>
      <c r="R91" s="23"/>
      <c r="S91" s="19"/>
      <c r="T91" s="23"/>
      <c r="U91" s="26"/>
      <c r="V91" s="24"/>
      <c r="W91" s="26"/>
      <c r="X91" s="19"/>
      <c r="Y91" s="23"/>
      <c r="Z91" s="26"/>
      <c r="AA91" s="26"/>
      <c r="AB91" s="19"/>
      <c r="AC91" s="23"/>
    </row>
    <row r="92">
      <c r="A92" s="97" t="s">
        <v>133</v>
      </c>
      <c r="B92" s="100">
        <f>B91/E129</f>
        <v>0.03997632331</v>
      </c>
      <c r="C92" s="11">
        <f>I92/E129</f>
        <v>0</v>
      </c>
      <c r="D92" s="12" t="s">
        <v>134</v>
      </c>
      <c r="E92" s="12" t="s">
        <v>135</v>
      </c>
      <c r="F92" s="92">
        <v>7.9</v>
      </c>
      <c r="G92" s="14">
        <v>7500.0</v>
      </c>
      <c r="H92" s="15">
        <f t="shared" si="43"/>
        <v>254325</v>
      </c>
      <c r="I92" s="29">
        <v>0.0</v>
      </c>
      <c r="J92" s="16">
        <v>33.91</v>
      </c>
      <c r="K92" s="101">
        <f>IFERROR(__xludf.DUMMYFUNCTION("GOOGLEFINANCE(E92,""changepct"")"),0.85)</f>
        <v>0.85</v>
      </c>
      <c r="L92" s="18">
        <f>IFERROR(__xludf.DUMMYFUNCTION("googlefinance(E92,""price"")"),45.23)</f>
        <v>45.23</v>
      </c>
      <c r="M92" s="30">
        <v>37.3</v>
      </c>
      <c r="N92" s="20">
        <f t="shared" si="45"/>
        <v>11.32</v>
      </c>
      <c r="O92" s="21">
        <f t="shared" ref="O92:O93" si="48">M92/J92-1</f>
        <v>0.09997051017</v>
      </c>
      <c r="P92" s="15">
        <f t="shared" si="47"/>
        <v>25425</v>
      </c>
      <c r="Q92" s="11">
        <v>0.016</v>
      </c>
      <c r="R92" s="15"/>
      <c r="S92" s="19"/>
      <c r="T92" s="23"/>
      <c r="U92" s="26"/>
      <c r="V92" s="33" t="s">
        <v>135</v>
      </c>
      <c r="W92" s="34">
        <v>45685.0</v>
      </c>
      <c r="X92" s="30">
        <v>37.3</v>
      </c>
      <c r="Y92" s="35">
        <v>279750.0</v>
      </c>
      <c r="Z92" s="26"/>
      <c r="AA92" s="26"/>
      <c r="AB92" s="19"/>
      <c r="AC92" s="23"/>
    </row>
    <row r="93">
      <c r="A93" s="97" t="s">
        <v>136</v>
      </c>
      <c r="B93" s="98">
        <f>I93+I92+I108+I101+I94+I105+I104+I97+I107</f>
        <v>970050</v>
      </c>
      <c r="C93" s="11">
        <f>I93/E129</f>
        <v>0</v>
      </c>
      <c r="D93" s="12" t="s">
        <v>137</v>
      </c>
      <c r="E93" s="12" t="s">
        <v>138</v>
      </c>
      <c r="F93" s="92">
        <v>7.8</v>
      </c>
      <c r="G93" s="14">
        <v>4000.0</v>
      </c>
      <c r="H93" s="15">
        <f t="shared" si="43"/>
        <v>171000</v>
      </c>
      <c r="I93" s="29">
        <v>0.0</v>
      </c>
      <c r="J93" s="16">
        <v>42.75</v>
      </c>
      <c r="K93" s="101">
        <f>IFERROR(__xludf.DUMMYFUNCTION("GOOGLEFINANCE(E93,""changepct"")"),0.27)</f>
        <v>0.27</v>
      </c>
      <c r="L93" s="18">
        <f>IFERROR(__xludf.DUMMYFUNCTION("googlefinance(E93,""price"")"),56.54)</f>
        <v>56.54</v>
      </c>
      <c r="M93" s="30">
        <v>46.25</v>
      </c>
      <c r="N93" s="20">
        <f t="shared" si="45"/>
        <v>13.79</v>
      </c>
      <c r="O93" s="21">
        <f t="shared" si="48"/>
        <v>0.08187134503</v>
      </c>
      <c r="P93" s="15">
        <f t="shared" si="47"/>
        <v>14000</v>
      </c>
      <c r="Q93" s="11">
        <v>0.026</v>
      </c>
      <c r="R93" s="15"/>
      <c r="S93" s="19"/>
      <c r="T93" s="23"/>
      <c r="U93" s="26"/>
      <c r="V93" s="33" t="s">
        <v>138</v>
      </c>
      <c r="W93" s="34">
        <v>45685.0</v>
      </c>
      <c r="X93" s="30">
        <v>46.25</v>
      </c>
      <c r="Y93" s="35">
        <v>185000.0</v>
      </c>
      <c r="Z93" s="26"/>
      <c r="AA93" s="26"/>
      <c r="AB93" s="19"/>
      <c r="AC93" s="23"/>
    </row>
    <row r="94">
      <c r="A94" s="97" t="s">
        <v>139</v>
      </c>
      <c r="B94" s="100">
        <f>B93/E129</f>
        <v>0.03535974508</v>
      </c>
      <c r="C94" s="11">
        <f>I94/E129</f>
        <v>0.009612251717</v>
      </c>
      <c r="D94" s="12" t="s">
        <v>140</v>
      </c>
      <c r="E94" s="12" t="s">
        <v>141</v>
      </c>
      <c r="F94" s="13">
        <v>8.0</v>
      </c>
      <c r="G94" s="28">
        <v>2500.0</v>
      </c>
      <c r="H94" s="15">
        <f t="shared" si="43"/>
        <v>195525</v>
      </c>
      <c r="I94" s="15">
        <f>H94+P94</f>
        <v>263700</v>
      </c>
      <c r="J94" s="16">
        <v>78.21</v>
      </c>
      <c r="K94" s="101">
        <f>IFERROR(__xludf.DUMMYFUNCTION("GOOGLEFINANCE(E94,""changepct"")"),-0.32)</f>
        <v>-0.32</v>
      </c>
      <c r="L94" s="18">
        <f>IFERROR(__xludf.DUMMYFUNCTION("googlefinance(E94,""price"")"),105.48)</f>
        <v>105.48</v>
      </c>
      <c r="M94" s="19"/>
      <c r="N94" s="20">
        <f t="shared" si="45"/>
        <v>27.27</v>
      </c>
      <c r="O94" s="21">
        <f>L94/J94-1</f>
        <v>0.3486766398</v>
      </c>
      <c r="P94" s="15">
        <f t="shared" si="47"/>
        <v>68175</v>
      </c>
      <c r="Q94" s="11">
        <v>0.032</v>
      </c>
      <c r="R94" s="15"/>
      <c r="S94" s="19"/>
      <c r="T94" s="23"/>
      <c r="U94" s="26"/>
      <c r="V94" s="24"/>
      <c r="W94" s="26"/>
      <c r="X94" s="19"/>
      <c r="Y94" s="23"/>
      <c r="Z94" s="26"/>
      <c r="AA94" s="25"/>
      <c r="AB94" s="19"/>
      <c r="AC94" s="23"/>
    </row>
    <row r="95">
      <c r="A95" s="36"/>
      <c r="B95" s="26"/>
      <c r="C95" s="11">
        <f>I95/E129</f>
        <v>0</v>
      </c>
      <c r="D95" s="38" t="s">
        <v>142</v>
      </c>
      <c r="E95" s="12" t="s">
        <v>141</v>
      </c>
      <c r="F95" s="13">
        <v>8.0</v>
      </c>
      <c r="G95" s="28">
        <v>2500.0</v>
      </c>
      <c r="H95" s="15">
        <f t="shared" si="43"/>
        <v>195525</v>
      </c>
      <c r="I95" s="29">
        <v>0.0</v>
      </c>
      <c r="J95" s="16">
        <v>78.21</v>
      </c>
      <c r="K95" s="101">
        <f>IFERROR(__xludf.DUMMYFUNCTION("GOOGLEFINANCE(E95,""changepct"")"),-0.32)</f>
        <v>-0.32</v>
      </c>
      <c r="L95" s="18">
        <f>IFERROR(__xludf.DUMMYFUNCTION("googlefinance(E95,""price"")"),105.48)</f>
        <v>105.48</v>
      </c>
      <c r="M95" s="30">
        <v>98.2</v>
      </c>
      <c r="N95" s="20">
        <f t="shared" si="45"/>
        <v>27.27</v>
      </c>
      <c r="O95" s="21">
        <f t="shared" ref="O95:O96" si="49">M95/J95-1</f>
        <v>0.2555939138</v>
      </c>
      <c r="P95" s="15">
        <f t="shared" si="47"/>
        <v>49975</v>
      </c>
      <c r="Q95" s="11"/>
      <c r="R95" s="15"/>
      <c r="S95" s="19"/>
      <c r="T95" s="23"/>
      <c r="U95" s="26"/>
      <c r="V95" s="33" t="s">
        <v>141</v>
      </c>
      <c r="W95" s="34">
        <v>45726.0</v>
      </c>
      <c r="X95" s="30">
        <v>98.2</v>
      </c>
      <c r="Y95" s="35">
        <v>245500.0</v>
      </c>
      <c r="Z95" s="12"/>
      <c r="AA95" s="45"/>
      <c r="AB95" s="20"/>
      <c r="AC95" s="15"/>
    </row>
    <row r="96">
      <c r="A96" s="36"/>
      <c r="B96" s="26"/>
      <c r="C96" s="11">
        <f>I96/E129</f>
        <v>0</v>
      </c>
      <c r="D96" s="38" t="s">
        <v>142</v>
      </c>
      <c r="E96" s="12" t="s">
        <v>141</v>
      </c>
      <c r="F96" s="13">
        <v>8.0</v>
      </c>
      <c r="G96" s="28">
        <v>5000.0</v>
      </c>
      <c r="H96" s="15">
        <f t="shared" si="43"/>
        <v>391050</v>
      </c>
      <c r="I96" s="29">
        <v>0.0</v>
      </c>
      <c r="J96" s="16">
        <v>78.21</v>
      </c>
      <c r="K96" s="101">
        <f>IFERROR(__xludf.DUMMYFUNCTION("GOOGLEFINANCE(E96,""changepct"")"),-0.32)</f>
        <v>-0.32</v>
      </c>
      <c r="L96" s="18">
        <f>IFERROR(__xludf.DUMMYFUNCTION("googlefinance(E96,""price"")"),105.48)</f>
        <v>105.48</v>
      </c>
      <c r="M96" s="30">
        <v>98.7</v>
      </c>
      <c r="N96" s="20">
        <f t="shared" si="45"/>
        <v>27.27</v>
      </c>
      <c r="O96" s="21">
        <f t="shared" si="49"/>
        <v>0.2619869582</v>
      </c>
      <c r="P96" s="15">
        <f t="shared" si="47"/>
        <v>102450</v>
      </c>
      <c r="Q96" s="11"/>
      <c r="R96" s="15"/>
      <c r="S96" s="19"/>
      <c r="T96" s="23"/>
      <c r="U96" s="26"/>
      <c r="V96" s="33" t="s">
        <v>141</v>
      </c>
      <c r="W96" s="34">
        <v>45699.0</v>
      </c>
      <c r="X96" s="30">
        <v>98.7</v>
      </c>
      <c r="Y96" s="35">
        <v>493500.0</v>
      </c>
      <c r="Z96" s="12"/>
      <c r="AA96" s="45"/>
      <c r="AB96" s="20"/>
      <c r="AC96" s="15"/>
    </row>
    <row r="97">
      <c r="A97" s="36"/>
      <c r="B97" s="26"/>
      <c r="C97" s="11">
        <f>I97/E129</f>
        <v>0.008746529388</v>
      </c>
      <c r="D97" s="38" t="s">
        <v>143</v>
      </c>
      <c r="E97" s="12" t="s">
        <v>144</v>
      </c>
      <c r="F97" s="13">
        <v>7.9</v>
      </c>
      <c r="G97" s="28">
        <v>5000.0</v>
      </c>
      <c r="H97" s="15">
        <f t="shared" si="43"/>
        <v>186100</v>
      </c>
      <c r="I97" s="15">
        <f>H97+P97</f>
        <v>239950</v>
      </c>
      <c r="J97" s="16">
        <v>37.22</v>
      </c>
      <c r="K97" s="101">
        <f>IFERROR(__xludf.DUMMYFUNCTION("GOOGLEFINANCE(E97,""changepct"")"),0.38)</f>
        <v>0.38</v>
      </c>
      <c r="L97" s="18">
        <f>IFERROR(__xludf.DUMMYFUNCTION("googlefinance(E97,""price"")"),47.99)</f>
        <v>47.99</v>
      </c>
      <c r="M97" s="19"/>
      <c r="N97" s="20">
        <f t="shared" si="45"/>
        <v>10.77</v>
      </c>
      <c r="O97" s="21">
        <f>L97/J97-1</f>
        <v>0.2893605588</v>
      </c>
      <c r="P97" s="15">
        <f t="shared" si="47"/>
        <v>53850</v>
      </c>
      <c r="Q97" s="11">
        <v>0.027</v>
      </c>
      <c r="R97" s="15"/>
      <c r="S97" s="19"/>
      <c r="T97" s="23"/>
      <c r="U97" s="26"/>
      <c r="V97" s="24"/>
      <c r="W97" s="25"/>
      <c r="X97" s="19"/>
      <c r="Y97" s="23"/>
      <c r="Z97" s="12"/>
      <c r="AA97" s="45"/>
      <c r="AB97" s="20"/>
      <c r="AC97" s="15"/>
    </row>
    <row r="98">
      <c r="A98" s="36"/>
      <c r="B98" s="26"/>
      <c r="C98" s="11">
        <f>I98/E129</f>
        <v>0</v>
      </c>
      <c r="D98" s="38" t="s">
        <v>145</v>
      </c>
      <c r="E98" s="12" t="s">
        <v>144</v>
      </c>
      <c r="F98" s="13">
        <v>7.9</v>
      </c>
      <c r="G98" s="28">
        <v>5000.0</v>
      </c>
      <c r="H98" s="15">
        <f t="shared" si="43"/>
        <v>186100</v>
      </c>
      <c r="I98" s="29">
        <v>0.0</v>
      </c>
      <c r="J98" s="16">
        <v>37.22</v>
      </c>
      <c r="K98" s="101">
        <f>IFERROR(__xludf.DUMMYFUNCTION("GOOGLEFINANCE(E98,""changepct"")"),0.38)</f>
        <v>0.38</v>
      </c>
      <c r="L98" s="18">
        <f>IFERROR(__xludf.DUMMYFUNCTION("googlefinance(E98,""price"")"),47.99)</f>
        <v>47.99</v>
      </c>
      <c r="M98" s="30">
        <v>43.25</v>
      </c>
      <c r="N98" s="20">
        <f t="shared" si="45"/>
        <v>10.77</v>
      </c>
      <c r="O98" s="21">
        <f t="shared" ref="O98:O102" si="50">M98/J98-1</f>
        <v>0.1620096722</v>
      </c>
      <c r="P98" s="15">
        <f t="shared" si="47"/>
        <v>30150</v>
      </c>
      <c r="Q98" s="102"/>
      <c r="R98" s="15"/>
      <c r="S98" s="19"/>
      <c r="T98" s="23"/>
      <c r="U98" s="26"/>
      <c r="V98" s="33" t="s">
        <v>144</v>
      </c>
      <c r="W98" s="34">
        <v>45726.0</v>
      </c>
      <c r="X98" s="30">
        <v>43.25</v>
      </c>
      <c r="Y98" s="35">
        <v>216250.0</v>
      </c>
      <c r="Z98" s="26"/>
      <c r="AA98" s="25"/>
      <c r="AB98" s="19"/>
      <c r="AC98" s="23"/>
    </row>
    <row r="99">
      <c r="A99" s="36"/>
      <c r="B99" s="26"/>
      <c r="C99" s="11">
        <f>I99/E129</f>
        <v>0</v>
      </c>
      <c r="D99" s="38" t="s">
        <v>145</v>
      </c>
      <c r="E99" s="12" t="s">
        <v>144</v>
      </c>
      <c r="F99" s="13">
        <v>7.9</v>
      </c>
      <c r="G99" s="28">
        <v>10000.0</v>
      </c>
      <c r="H99" s="15">
        <f t="shared" si="43"/>
        <v>372200</v>
      </c>
      <c r="I99" s="29">
        <v>0.0</v>
      </c>
      <c r="J99" s="16">
        <v>37.22</v>
      </c>
      <c r="K99" s="101">
        <f>IFERROR(__xludf.DUMMYFUNCTION("GOOGLEFINANCE(E99,""changepct"")"),0.38)</f>
        <v>0.38</v>
      </c>
      <c r="L99" s="18">
        <f>IFERROR(__xludf.DUMMYFUNCTION("googlefinance(E99,""price"")"),47.99)</f>
        <v>47.99</v>
      </c>
      <c r="M99" s="30">
        <v>45.7</v>
      </c>
      <c r="N99" s="20">
        <f t="shared" si="45"/>
        <v>10.77</v>
      </c>
      <c r="O99" s="21">
        <f t="shared" si="50"/>
        <v>0.2278344976</v>
      </c>
      <c r="P99" s="15">
        <f t="shared" si="47"/>
        <v>84800</v>
      </c>
      <c r="Q99" s="102"/>
      <c r="R99" s="15"/>
      <c r="S99" s="19"/>
      <c r="T99" s="23"/>
      <c r="U99" s="26"/>
      <c r="V99" s="33" t="s">
        <v>144</v>
      </c>
      <c r="W99" s="34">
        <v>45699.0</v>
      </c>
      <c r="X99" s="30">
        <v>45.7</v>
      </c>
      <c r="Y99" s="35">
        <v>457000.0</v>
      </c>
      <c r="Z99" s="26"/>
      <c r="AA99" s="25"/>
      <c r="AB99" s="19"/>
      <c r="AC99" s="23"/>
    </row>
    <row r="100">
      <c r="A100" s="36"/>
      <c r="B100" s="26"/>
      <c r="C100" s="11">
        <f>I100/E129</f>
        <v>0</v>
      </c>
      <c r="D100" s="38" t="s">
        <v>145</v>
      </c>
      <c r="E100" s="12" t="s">
        <v>144</v>
      </c>
      <c r="F100" s="13">
        <v>7.9</v>
      </c>
      <c r="G100" s="28">
        <v>10000.0</v>
      </c>
      <c r="H100" s="15">
        <f t="shared" si="43"/>
        <v>372200</v>
      </c>
      <c r="I100" s="29">
        <v>0.0</v>
      </c>
      <c r="J100" s="16">
        <v>37.22</v>
      </c>
      <c r="K100" s="101">
        <f>IFERROR(__xludf.DUMMYFUNCTION("GOOGLEFINANCE(E100,""changepct"")"),0.38)</f>
        <v>0.38</v>
      </c>
      <c r="L100" s="18">
        <f>IFERROR(__xludf.DUMMYFUNCTION("googlefinance(E100,""price"")"),47.99)</f>
        <v>47.99</v>
      </c>
      <c r="M100" s="30">
        <v>42.0</v>
      </c>
      <c r="N100" s="20">
        <f t="shared" si="45"/>
        <v>10.77</v>
      </c>
      <c r="O100" s="21">
        <f t="shared" si="50"/>
        <v>0.1284255776</v>
      </c>
      <c r="P100" s="15">
        <f t="shared" si="47"/>
        <v>47800</v>
      </c>
      <c r="Q100" s="102">
        <v>0.027</v>
      </c>
      <c r="R100" s="15"/>
      <c r="S100" s="19"/>
      <c r="T100" s="23"/>
      <c r="U100" s="26"/>
      <c r="V100" s="33" t="s">
        <v>144</v>
      </c>
      <c r="W100" s="34">
        <v>45673.0</v>
      </c>
      <c r="X100" s="30">
        <v>42.0</v>
      </c>
      <c r="Y100" s="35">
        <v>420000.0</v>
      </c>
      <c r="Z100" s="26"/>
      <c r="AA100" s="25"/>
      <c r="AB100" s="19"/>
      <c r="AC100" s="23"/>
    </row>
    <row r="101">
      <c r="A101" s="36"/>
      <c r="B101" s="26"/>
      <c r="C101" s="11">
        <f>I101/E129</f>
        <v>0</v>
      </c>
      <c r="D101" s="12" t="s">
        <v>146</v>
      </c>
      <c r="E101" s="12" t="s">
        <v>147</v>
      </c>
      <c r="F101" s="13">
        <v>7.8</v>
      </c>
      <c r="G101" s="28">
        <v>20000.0</v>
      </c>
      <c r="H101" s="15">
        <f t="shared" si="43"/>
        <v>310000</v>
      </c>
      <c r="I101" s="29">
        <v>0.0</v>
      </c>
      <c r="J101" s="16">
        <v>15.5</v>
      </c>
      <c r="K101" s="101">
        <f>IFERROR(__xludf.DUMMYFUNCTION("GOOGLEFINANCE(E101,""changepct"")"),0.31)</f>
        <v>0.31</v>
      </c>
      <c r="L101" s="18">
        <f>IFERROR(__xludf.DUMMYFUNCTION("googlefinance(E101,""price"")"),19.39)</f>
        <v>19.39</v>
      </c>
      <c r="M101" s="30">
        <v>16.0</v>
      </c>
      <c r="N101" s="20">
        <f t="shared" si="45"/>
        <v>3.89</v>
      </c>
      <c r="O101" s="21">
        <f t="shared" si="50"/>
        <v>0.03225806452</v>
      </c>
      <c r="P101" s="15">
        <f t="shared" si="47"/>
        <v>10000</v>
      </c>
      <c r="Q101" s="11">
        <v>0.0255</v>
      </c>
      <c r="R101" s="15"/>
      <c r="S101" s="19"/>
      <c r="T101" s="23"/>
      <c r="U101" s="26"/>
      <c r="V101" s="33" t="s">
        <v>147</v>
      </c>
      <c r="W101" s="34">
        <v>45685.0</v>
      </c>
      <c r="X101" s="30">
        <v>16.0</v>
      </c>
      <c r="Y101" s="35">
        <v>320000.0</v>
      </c>
      <c r="Z101" s="26"/>
      <c r="AA101" s="25"/>
      <c r="AB101" s="19"/>
      <c r="AC101" s="23"/>
    </row>
    <row r="102">
      <c r="A102" s="36"/>
      <c r="B102" s="26"/>
      <c r="C102" s="11">
        <f>I102/E129</f>
        <v>0</v>
      </c>
      <c r="D102" s="12" t="s">
        <v>146</v>
      </c>
      <c r="E102" s="12" t="s">
        <v>147</v>
      </c>
      <c r="F102" s="13">
        <v>7.8</v>
      </c>
      <c r="G102" s="28">
        <v>20000.0</v>
      </c>
      <c r="H102" s="15">
        <f t="shared" si="43"/>
        <v>310000</v>
      </c>
      <c r="I102" s="29">
        <v>0.0</v>
      </c>
      <c r="J102" s="16">
        <v>15.5</v>
      </c>
      <c r="K102" s="101">
        <f>IFERROR(__xludf.DUMMYFUNCTION("GOOGLEFINANCE(E102,""changepct"")"),0.31)</f>
        <v>0.31</v>
      </c>
      <c r="L102" s="18">
        <f>IFERROR(__xludf.DUMMYFUNCTION("googlefinance(E102,""price"")"),19.39)</f>
        <v>19.39</v>
      </c>
      <c r="M102" s="30">
        <v>15.88</v>
      </c>
      <c r="N102" s="20">
        <f t="shared" si="45"/>
        <v>3.89</v>
      </c>
      <c r="O102" s="21">
        <f t="shared" si="50"/>
        <v>0.02451612903</v>
      </c>
      <c r="P102" s="15">
        <f t="shared" si="47"/>
        <v>7600</v>
      </c>
      <c r="Q102" s="102">
        <v>0.0255</v>
      </c>
      <c r="R102" s="15"/>
      <c r="S102" s="19"/>
      <c r="T102" s="15"/>
      <c r="U102" s="26"/>
      <c r="V102" s="33" t="s">
        <v>147</v>
      </c>
      <c r="W102" s="34">
        <v>45673.0</v>
      </c>
      <c r="X102" s="30">
        <v>15.88</v>
      </c>
      <c r="Y102" s="35">
        <v>317600.0</v>
      </c>
      <c r="Z102" s="12"/>
      <c r="AA102" s="45"/>
      <c r="AB102" s="20"/>
      <c r="AC102" s="15"/>
    </row>
    <row r="103">
      <c r="A103" s="36"/>
      <c r="B103" s="26"/>
      <c r="C103" s="11">
        <f>I103/E129</f>
        <v>0.009666928917</v>
      </c>
      <c r="D103" s="12" t="s">
        <v>148</v>
      </c>
      <c r="E103" s="12" t="s">
        <v>149</v>
      </c>
      <c r="F103" s="13">
        <v>7.9</v>
      </c>
      <c r="G103" s="28">
        <v>10000.0</v>
      </c>
      <c r="H103" s="15">
        <f t="shared" si="43"/>
        <v>202200</v>
      </c>
      <c r="I103" s="15">
        <f>H103+P103</f>
        <v>265200</v>
      </c>
      <c r="J103" s="16">
        <v>20.22</v>
      </c>
      <c r="K103" s="101">
        <f>IFERROR(__xludf.DUMMYFUNCTION("GOOGLEFINANCE(E103,""changepct"")"),-0.3)</f>
        <v>-0.3</v>
      </c>
      <c r="L103" s="18">
        <f>IFERROR(__xludf.DUMMYFUNCTION("googlefinance(E103,""price"")"),26.52)</f>
        <v>26.52</v>
      </c>
      <c r="M103" s="19"/>
      <c r="N103" s="20">
        <f t="shared" si="45"/>
        <v>6.3</v>
      </c>
      <c r="O103" s="21">
        <f>L103/J103-1</f>
        <v>0.3115727003</v>
      </c>
      <c r="P103" s="15">
        <f t="shared" si="47"/>
        <v>63000</v>
      </c>
      <c r="Q103" s="11"/>
      <c r="R103" s="15"/>
      <c r="S103" s="19"/>
      <c r="T103" s="15"/>
      <c r="U103" s="26"/>
      <c r="V103" s="24"/>
      <c r="W103" s="25"/>
      <c r="X103" s="19"/>
      <c r="Y103" s="23"/>
      <c r="Z103" s="12"/>
      <c r="AA103" s="45"/>
      <c r="AB103" s="20"/>
      <c r="AC103" s="15"/>
    </row>
    <row r="104">
      <c r="A104" s="36"/>
      <c r="B104" s="26"/>
      <c r="C104" s="11">
        <f>I104/E129</f>
        <v>0</v>
      </c>
      <c r="D104" s="12" t="s">
        <v>148</v>
      </c>
      <c r="E104" s="12" t="s">
        <v>149</v>
      </c>
      <c r="F104" s="13">
        <v>7.9</v>
      </c>
      <c r="G104" s="28">
        <v>10000.0</v>
      </c>
      <c r="H104" s="15">
        <f t="shared" si="43"/>
        <v>202200</v>
      </c>
      <c r="I104" s="29">
        <v>0.0</v>
      </c>
      <c r="J104" s="16">
        <v>20.22</v>
      </c>
      <c r="K104" s="101">
        <f>IFERROR(__xludf.DUMMYFUNCTION("GOOGLEFINANCE(E104,""changepct"")"),-0.3)</f>
        <v>-0.3</v>
      </c>
      <c r="L104" s="18">
        <f>IFERROR(__xludf.DUMMYFUNCTION("googlefinance(E104,""price"")"),26.52)</f>
        <v>26.52</v>
      </c>
      <c r="M104" s="30">
        <v>23.84</v>
      </c>
      <c r="N104" s="20">
        <f t="shared" si="45"/>
        <v>6.3</v>
      </c>
      <c r="O104" s="21">
        <f>M104/J104-1</f>
        <v>0.1790306627</v>
      </c>
      <c r="P104" s="15">
        <f t="shared" si="47"/>
        <v>36200</v>
      </c>
      <c r="Q104" s="11">
        <v>0.02</v>
      </c>
      <c r="R104" s="15"/>
      <c r="S104" s="19"/>
      <c r="T104" s="15"/>
      <c r="U104" s="103"/>
      <c r="V104" s="33" t="s">
        <v>149</v>
      </c>
      <c r="W104" s="34">
        <v>40247.0</v>
      </c>
      <c r="X104" s="30">
        <v>23.84</v>
      </c>
      <c r="Y104" s="35">
        <v>238400.0</v>
      </c>
      <c r="Z104" s="12"/>
      <c r="AA104" s="45"/>
      <c r="AB104" s="20"/>
      <c r="AC104" s="15"/>
    </row>
    <row r="105">
      <c r="A105" s="36"/>
      <c r="B105" s="26"/>
      <c r="C105" s="11">
        <f>I105/E129</f>
        <v>0.01700096398</v>
      </c>
      <c r="D105" s="91" t="s">
        <v>150</v>
      </c>
      <c r="E105" s="12" t="s">
        <v>151</v>
      </c>
      <c r="F105" s="13">
        <v>8.0</v>
      </c>
      <c r="G105" s="28">
        <v>80000.0</v>
      </c>
      <c r="H105" s="15">
        <f t="shared" si="43"/>
        <v>392800</v>
      </c>
      <c r="I105" s="15">
        <f>H105+P105</f>
        <v>466400</v>
      </c>
      <c r="J105" s="16">
        <v>4.91</v>
      </c>
      <c r="K105" s="101">
        <f>IFERROR(__xludf.DUMMYFUNCTION("GOOGLEFINANCE(E105,""changepct"")"),-0.85)</f>
        <v>-0.85</v>
      </c>
      <c r="L105" s="18">
        <f>IFERROR(__xludf.DUMMYFUNCTION("googlefinance(E105,""price"")"),5.83)</f>
        <v>5.83</v>
      </c>
      <c r="M105" s="19"/>
      <c r="N105" s="20">
        <f t="shared" si="45"/>
        <v>0.92</v>
      </c>
      <c r="O105" s="21">
        <f>L105/J105-1</f>
        <v>0.1873727088</v>
      </c>
      <c r="P105" s="15">
        <f t="shared" si="47"/>
        <v>73600</v>
      </c>
      <c r="Q105" s="11">
        <v>0.0045</v>
      </c>
      <c r="R105" s="15"/>
      <c r="S105" s="19"/>
      <c r="T105" s="23"/>
      <c r="U105" s="26"/>
      <c r="V105" s="24"/>
      <c r="W105" s="25"/>
      <c r="X105" s="19"/>
      <c r="Y105" s="23"/>
      <c r="Z105" s="12"/>
      <c r="AA105" s="45"/>
      <c r="AB105" s="20"/>
      <c r="AC105" s="15"/>
    </row>
    <row r="106">
      <c r="A106" s="36"/>
      <c r="B106" s="26"/>
      <c r="C106" s="11">
        <f>I106/E129</f>
        <v>0</v>
      </c>
      <c r="D106" s="89" t="s">
        <v>152</v>
      </c>
      <c r="E106" s="12" t="s">
        <v>151</v>
      </c>
      <c r="F106" s="13">
        <v>8.0</v>
      </c>
      <c r="G106" s="28">
        <v>75000.0</v>
      </c>
      <c r="H106" s="15">
        <f t="shared" si="43"/>
        <v>368250</v>
      </c>
      <c r="I106" s="29">
        <v>0.0</v>
      </c>
      <c r="J106" s="16">
        <v>4.91</v>
      </c>
      <c r="K106" s="101">
        <f>IFERROR(__xludf.DUMMYFUNCTION("GOOGLEFINANCE(E106,""changepct"")"),-0.85)</f>
        <v>-0.85</v>
      </c>
      <c r="L106" s="18">
        <f>IFERROR(__xludf.DUMMYFUNCTION("googlefinance(E106,""price"")"),5.83)</f>
        <v>5.83</v>
      </c>
      <c r="M106" s="30">
        <v>6.1</v>
      </c>
      <c r="N106" s="20">
        <f t="shared" si="45"/>
        <v>0.92</v>
      </c>
      <c r="O106" s="21">
        <f t="shared" ref="O106:O108" si="51">M106/J106-1</f>
        <v>0.2423625255</v>
      </c>
      <c r="P106" s="15">
        <f t="shared" si="47"/>
        <v>89250</v>
      </c>
      <c r="Q106" s="11"/>
      <c r="R106" s="23"/>
      <c r="S106" s="19"/>
      <c r="T106" s="23"/>
      <c r="U106" s="26"/>
      <c r="V106" s="33" t="s">
        <v>151</v>
      </c>
      <c r="W106" s="34">
        <v>45699.0</v>
      </c>
      <c r="X106" s="30">
        <v>6.1</v>
      </c>
      <c r="Y106" s="35">
        <v>457500.0</v>
      </c>
      <c r="Z106" s="12"/>
      <c r="AA106" s="45"/>
      <c r="AB106" s="20"/>
      <c r="AC106" s="15"/>
    </row>
    <row r="107">
      <c r="A107" s="36"/>
      <c r="B107" s="26"/>
      <c r="C107" s="11">
        <f>I107/E129</f>
        <v>0</v>
      </c>
      <c r="D107" s="89" t="s">
        <v>153</v>
      </c>
      <c r="E107" s="12" t="s">
        <v>154</v>
      </c>
      <c r="F107" s="13">
        <v>7.5</v>
      </c>
      <c r="G107" s="14">
        <v>100000.0</v>
      </c>
      <c r="H107" s="15">
        <f t="shared" si="43"/>
        <v>244000</v>
      </c>
      <c r="I107" s="29">
        <v>0.0</v>
      </c>
      <c r="J107" s="16">
        <v>2.44</v>
      </c>
      <c r="K107" s="101">
        <f>IFERROR(__xludf.DUMMYFUNCTION("GOOGLEFINANCE(E107,""changepct"")"),0.91)</f>
        <v>0.91</v>
      </c>
      <c r="L107" s="18">
        <f>IFERROR(__xludf.DUMMYFUNCTION("googlefinance(E107,""price"")"),3.31)</f>
        <v>3.31</v>
      </c>
      <c r="M107" s="30">
        <v>2.31</v>
      </c>
      <c r="N107" s="20">
        <f t="shared" si="45"/>
        <v>0.87</v>
      </c>
      <c r="O107" s="21">
        <f t="shared" si="51"/>
        <v>-0.05327868852</v>
      </c>
      <c r="P107" s="15">
        <f t="shared" si="47"/>
        <v>-13000</v>
      </c>
      <c r="Q107" s="11">
        <v>0.06</v>
      </c>
      <c r="R107" s="23"/>
      <c r="S107" s="19"/>
      <c r="T107" s="23"/>
      <c r="U107" s="26"/>
      <c r="V107" s="33" t="s">
        <v>154</v>
      </c>
      <c r="W107" s="34">
        <v>45685.0</v>
      </c>
      <c r="X107" s="30">
        <v>2.31</v>
      </c>
      <c r="Y107" s="35">
        <v>231000.0</v>
      </c>
      <c r="Z107" s="12"/>
      <c r="AA107" s="45"/>
      <c r="AB107" s="20"/>
      <c r="AC107" s="15"/>
    </row>
    <row r="108">
      <c r="A108" s="36"/>
      <c r="B108" s="26"/>
      <c r="C108" s="11">
        <f>I108/E129</f>
        <v>0</v>
      </c>
      <c r="D108" s="89" t="s">
        <v>155</v>
      </c>
      <c r="E108" s="12" t="s">
        <v>156</v>
      </c>
      <c r="F108" s="13">
        <v>7.8</v>
      </c>
      <c r="G108" s="14">
        <v>15000.0</v>
      </c>
      <c r="H108" s="15">
        <f t="shared" si="43"/>
        <v>173100</v>
      </c>
      <c r="I108" s="29">
        <v>0.0</v>
      </c>
      <c r="J108" s="16">
        <v>11.54</v>
      </c>
      <c r="K108" s="101">
        <f>IFERROR(__xludf.DUMMYFUNCTION("GOOGLEFINANCE(E108,""changepct"")"),-0.59)</f>
        <v>-0.59</v>
      </c>
      <c r="L108" s="18">
        <f>IFERROR(__xludf.DUMMYFUNCTION("googlefinance(E108,""price"")"),15.23)</f>
        <v>15.23</v>
      </c>
      <c r="M108" s="30">
        <v>12.33</v>
      </c>
      <c r="N108" s="20">
        <f t="shared" si="45"/>
        <v>3.69</v>
      </c>
      <c r="O108" s="21">
        <f t="shared" si="51"/>
        <v>0.06845753899</v>
      </c>
      <c r="P108" s="15">
        <f t="shared" si="47"/>
        <v>11850</v>
      </c>
      <c r="Q108" s="11">
        <v>0.01</v>
      </c>
      <c r="R108" s="15"/>
      <c r="S108" s="19"/>
      <c r="T108" s="23"/>
      <c r="U108" s="26"/>
      <c r="V108" s="33" t="s">
        <v>156</v>
      </c>
      <c r="W108" s="34">
        <v>45685.0</v>
      </c>
      <c r="X108" s="30">
        <v>12.33</v>
      </c>
      <c r="Y108" s="35">
        <v>184950.0</v>
      </c>
      <c r="Z108" s="26"/>
      <c r="AA108" s="25"/>
      <c r="AB108" s="19"/>
      <c r="AC108" s="23"/>
    </row>
    <row r="109">
      <c r="A109" s="55"/>
      <c r="B109" s="56"/>
      <c r="C109" s="4" t="s">
        <v>79</v>
      </c>
      <c r="D109" s="56"/>
      <c r="E109" s="56"/>
      <c r="F109" s="56"/>
      <c r="G109" s="57"/>
      <c r="H109" s="58">
        <f t="shared" ref="H109:I109" si="52">SUM(H90:H108)</f>
        <v>5471575</v>
      </c>
      <c r="I109" s="59">
        <f t="shared" si="52"/>
        <v>2331950</v>
      </c>
      <c r="J109" s="60"/>
      <c r="K109" s="60"/>
      <c r="L109" s="56"/>
      <c r="M109" s="56"/>
      <c r="N109" s="56"/>
      <c r="O109" s="61">
        <f>P109/(3500000+R109+T109)</f>
        <v>0.2590928571</v>
      </c>
      <c r="P109" s="59">
        <f>SUM(P90:P108)</f>
        <v>906825</v>
      </c>
      <c r="Q109" s="56"/>
      <c r="R109" s="58">
        <f>SUM(R90:R108)</f>
        <v>0</v>
      </c>
      <c r="S109" s="56"/>
      <c r="T109" s="58">
        <f>SUM(T90:T108)</f>
        <v>0</v>
      </c>
      <c r="U109" s="56"/>
      <c r="V109" s="4"/>
      <c r="W109" s="56"/>
      <c r="X109" s="60"/>
      <c r="Y109" s="58">
        <f>SUM(Y90:Y108)</f>
        <v>4046450</v>
      </c>
      <c r="Z109" s="4" t="s">
        <v>79</v>
      </c>
      <c r="AA109" s="56"/>
      <c r="AB109" s="56"/>
      <c r="AC109" s="58">
        <f>SUM(AC90:AC108)</f>
        <v>0</v>
      </c>
    </row>
    <row r="110">
      <c r="A110" s="55"/>
      <c r="B110" s="4" t="s">
        <v>157</v>
      </c>
      <c r="C110" s="4" t="s">
        <v>2</v>
      </c>
      <c r="D110" s="4" t="s">
        <v>158</v>
      </c>
      <c r="E110" s="4" t="s">
        <v>4</v>
      </c>
      <c r="F110" s="4" t="s">
        <v>5</v>
      </c>
      <c r="G110" s="4" t="s">
        <v>159</v>
      </c>
      <c r="H110" s="4" t="s">
        <v>7</v>
      </c>
      <c r="I110" s="5" t="s">
        <v>8</v>
      </c>
      <c r="J110" s="5" t="s">
        <v>9</v>
      </c>
      <c r="K110" s="6" t="s">
        <v>10</v>
      </c>
      <c r="L110" s="6" t="s">
        <v>11</v>
      </c>
      <c r="M110" s="7" t="s">
        <v>12</v>
      </c>
      <c r="N110" s="7" t="s">
        <v>13</v>
      </c>
      <c r="O110" s="4" t="s">
        <v>14</v>
      </c>
      <c r="P110" s="7" t="s">
        <v>15</v>
      </c>
      <c r="Q110" s="4" t="s">
        <v>160</v>
      </c>
      <c r="R110" s="4" t="s">
        <v>17</v>
      </c>
      <c r="S110" s="7" t="s">
        <v>18</v>
      </c>
      <c r="T110" s="4" t="s">
        <v>19</v>
      </c>
      <c r="U110" s="4" t="s">
        <v>19</v>
      </c>
      <c r="V110" s="4" t="s">
        <v>21</v>
      </c>
      <c r="W110" s="4" t="s">
        <v>22</v>
      </c>
      <c r="X110" s="9" t="s">
        <v>23</v>
      </c>
      <c r="Y110" s="9" t="s">
        <v>24</v>
      </c>
      <c r="Z110" s="4" t="s">
        <v>25</v>
      </c>
      <c r="AA110" s="4" t="s">
        <v>26</v>
      </c>
      <c r="AB110" s="4" t="s">
        <v>27</v>
      </c>
      <c r="AC110" s="4" t="s">
        <v>28</v>
      </c>
    </row>
    <row r="111">
      <c r="A111" s="63" t="s">
        <v>29</v>
      </c>
      <c r="B111" s="64">
        <f>I122/E129</f>
        <v>0.0497753888</v>
      </c>
      <c r="C111" s="11">
        <f>I111/E129</f>
        <v>0.009117423059</v>
      </c>
      <c r="D111" s="104" t="s">
        <v>161</v>
      </c>
      <c r="E111" s="12" t="s">
        <v>162</v>
      </c>
      <c r="F111" s="13">
        <v>7.8</v>
      </c>
      <c r="G111" s="14">
        <v>3.0</v>
      </c>
      <c r="H111" s="15">
        <f t="shared" ref="H111:H121" si="53">G111*J111</f>
        <v>281175</v>
      </c>
      <c r="I111" s="15">
        <f t="shared" ref="I111:I118" si="54">H111+P111</f>
        <v>250125</v>
      </c>
      <c r="J111" s="29">
        <v>93725.0</v>
      </c>
      <c r="K111" s="105"/>
      <c r="L111" s="106">
        <v>83375.0</v>
      </c>
      <c r="M111" s="95"/>
      <c r="N111" s="107">
        <f t="shared" ref="N111:N121" si="55">L111-J111</f>
        <v>-10350</v>
      </c>
      <c r="O111" s="108">
        <f t="shared" ref="O111:O118" si="56">L111/J111-1</f>
        <v>-0.1104294479</v>
      </c>
      <c r="P111" s="109">
        <f t="shared" ref="P111:P121" si="57">H111*O111</f>
        <v>-31050</v>
      </c>
      <c r="Q111" s="26"/>
      <c r="R111" s="26"/>
      <c r="S111" s="23"/>
      <c r="T111" s="26"/>
      <c r="U111" s="26"/>
      <c r="V111" s="24"/>
      <c r="W111" s="25"/>
      <c r="X111" s="23"/>
      <c r="Y111" s="23"/>
      <c r="Z111" s="110"/>
      <c r="AA111" s="111"/>
      <c r="AB111" s="112"/>
      <c r="AC111" s="112"/>
    </row>
    <row r="112">
      <c r="A112" s="36"/>
      <c r="B112" s="26"/>
      <c r="C112" s="11">
        <f>I112/E129</f>
        <v>0.006142072106</v>
      </c>
      <c r="D112" s="38" t="s">
        <v>163</v>
      </c>
      <c r="E112" s="43" t="s">
        <v>164</v>
      </c>
      <c r="F112" s="13">
        <v>7.7</v>
      </c>
      <c r="G112" s="28">
        <v>500.0</v>
      </c>
      <c r="H112" s="15">
        <f t="shared" si="53"/>
        <v>241500</v>
      </c>
      <c r="I112" s="15">
        <f t="shared" si="54"/>
        <v>168500</v>
      </c>
      <c r="J112" s="29">
        <v>483.0</v>
      </c>
      <c r="K112" s="105"/>
      <c r="L112" s="106">
        <v>337.0</v>
      </c>
      <c r="M112" s="95"/>
      <c r="N112" s="107">
        <f t="shared" si="55"/>
        <v>-146</v>
      </c>
      <c r="O112" s="108">
        <f t="shared" si="56"/>
        <v>-0.3022774327</v>
      </c>
      <c r="P112" s="109">
        <f t="shared" si="57"/>
        <v>-73000</v>
      </c>
      <c r="Q112" s="26"/>
      <c r="R112" s="26"/>
      <c r="S112" s="23"/>
      <c r="T112" s="26"/>
      <c r="U112" s="26"/>
      <c r="V112" s="24"/>
      <c r="W112" s="25"/>
      <c r="X112" s="23"/>
      <c r="Y112" s="23"/>
      <c r="Z112" s="113" t="s">
        <v>165</v>
      </c>
      <c r="AA112" s="114">
        <v>45674.0</v>
      </c>
      <c r="AB112" s="115">
        <v>483.0</v>
      </c>
      <c r="AC112" s="35">
        <v>241500.0</v>
      </c>
    </row>
    <row r="113">
      <c r="A113" s="36"/>
      <c r="B113" s="26"/>
      <c r="C113" s="11">
        <f>I113/E129</f>
        <v>0.006142072106</v>
      </c>
      <c r="D113" s="38" t="s">
        <v>163</v>
      </c>
      <c r="E113" s="43" t="s">
        <v>164</v>
      </c>
      <c r="F113" s="13">
        <v>7.7</v>
      </c>
      <c r="G113" s="28">
        <v>500.0</v>
      </c>
      <c r="H113" s="15">
        <f t="shared" si="53"/>
        <v>153500</v>
      </c>
      <c r="I113" s="15">
        <f t="shared" si="54"/>
        <v>168500</v>
      </c>
      <c r="J113" s="116">
        <v>307.0</v>
      </c>
      <c r="K113" s="105"/>
      <c r="L113" s="106">
        <v>337.0</v>
      </c>
      <c r="M113" s="95"/>
      <c r="N113" s="107">
        <f t="shared" si="55"/>
        <v>30</v>
      </c>
      <c r="O113" s="108">
        <f t="shared" si="56"/>
        <v>0.09771986971</v>
      </c>
      <c r="P113" s="109">
        <f t="shared" si="57"/>
        <v>15000</v>
      </c>
      <c r="Q113" s="26"/>
      <c r="R113" s="26"/>
      <c r="S113" s="23"/>
      <c r="T113" s="26"/>
      <c r="U113" s="26"/>
      <c r="V113" s="24"/>
      <c r="W113" s="25"/>
      <c r="X113" s="23"/>
      <c r="Y113" s="23"/>
      <c r="Z113" s="113" t="s">
        <v>165</v>
      </c>
      <c r="AA113" s="114">
        <v>45691.0</v>
      </c>
      <c r="AB113" s="115">
        <v>307.0</v>
      </c>
      <c r="AC113" s="35">
        <v>153500.0</v>
      </c>
    </row>
    <row r="114">
      <c r="A114" s="36"/>
      <c r="B114" s="26"/>
      <c r="C114" s="11">
        <f>I114/E129</f>
        <v>0.003973209849</v>
      </c>
      <c r="D114" s="38" t="s">
        <v>166</v>
      </c>
      <c r="E114" s="43" t="s">
        <v>167</v>
      </c>
      <c r="F114" s="13">
        <v>7.6</v>
      </c>
      <c r="G114" s="28">
        <v>25000.0</v>
      </c>
      <c r="H114" s="15">
        <f t="shared" si="53"/>
        <v>183250</v>
      </c>
      <c r="I114" s="15">
        <f t="shared" si="54"/>
        <v>109000</v>
      </c>
      <c r="J114" s="116">
        <v>7.33</v>
      </c>
      <c r="K114" s="105"/>
      <c r="L114" s="117">
        <v>4.36</v>
      </c>
      <c r="M114" s="95"/>
      <c r="N114" s="107">
        <f t="shared" si="55"/>
        <v>-2.97</v>
      </c>
      <c r="O114" s="108">
        <f t="shared" si="56"/>
        <v>-0.4051841746</v>
      </c>
      <c r="P114" s="109">
        <f t="shared" si="57"/>
        <v>-74250</v>
      </c>
      <c r="Q114" s="26"/>
      <c r="R114" s="26"/>
      <c r="S114" s="23"/>
      <c r="T114" s="26"/>
      <c r="U114" s="26"/>
      <c r="V114" s="24"/>
      <c r="W114" s="25"/>
      <c r="X114" s="23"/>
      <c r="Y114" s="23"/>
      <c r="Z114" s="113" t="s">
        <v>168</v>
      </c>
      <c r="AA114" s="114">
        <v>45674.0</v>
      </c>
      <c r="AB114" s="115">
        <v>7.33</v>
      </c>
      <c r="AC114" s="35">
        <v>183250.0</v>
      </c>
    </row>
    <row r="115">
      <c r="A115" s="36"/>
      <c r="B115" s="26"/>
      <c r="C115" s="11">
        <f>I115/E129</f>
        <v>0.002383925909</v>
      </c>
      <c r="D115" s="38" t="s">
        <v>166</v>
      </c>
      <c r="E115" s="43" t="s">
        <v>167</v>
      </c>
      <c r="F115" s="13">
        <v>7.6</v>
      </c>
      <c r="G115" s="28">
        <v>15000.0</v>
      </c>
      <c r="H115" s="15">
        <f t="shared" si="53"/>
        <v>68100</v>
      </c>
      <c r="I115" s="15">
        <f t="shared" si="54"/>
        <v>65400</v>
      </c>
      <c r="J115" s="116">
        <v>4.54</v>
      </c>
      <c r="K115" s="105"/>
      <c r="L115" s="117">
        <v>4.36</v>
      </c>
      <c r="M115" s="95"/>
      <c r="N115" s="107">
        <f t="shared" si="55"/>
        <v>-0.18</v>
      </c>
      <c r="O115" s="108">
        <f t="shared" si="56"/>
        <v>-0.03964757709</v>
      </c>
      <c r="P115" s="109">
        <f t="shared" si="57"/>
        <v>-2700</v>
      </c>
      <c r="Q115" s="26"/>
      <c r="R115" s="26"/>
      <c r="S115" s="23"/>
      <c r="T115" s="26"/>
      <c r="U115" s="26"/>
      <c r="V115" s="24"/>
      <c r="W115" s="25"/>
      <c r="X115" s="23"/>
      <c r="Y115" s="23"/>
      <c r="Z115" s="113" t="s">
        <v>168</v>
      </c>
      <c r="AA115" s="114">
        <v>45691.0</v>
      </c>
      <c r="AB115" s="115">
        <v>4.54</v>
      </c>
      <c r="AC115" s="35">
        <v>68100.0</v>
      </c>
    </row>
    <row r="116">
      <c r="A116" s="36"/>
      <c r="B116" s="26"/>
      <c r="C116" s="11">
        <f>I116/E129</f>
        <v>0.006196749306</v>
      </c>
      <c r="D116" s="118" t="s">
        <v>169</v>
      </c>
      <c r="E116" s="118" t="s">
        <v>170</v>
      </c>
      <c r="F116" s="119">
        <v>7.7</v>
      </c>
      <c r="G116" s="28">
        <v>1000000.0</v>
      </c>
      <c r="H116" s="15">
        <f t="shared" si="53"/>
        <v>247700</v>
      </c>
      <c r="I116" s="15">
        <f t="shared" si="54"/>
        <v>170000</v>
      </c>
      <c r="J116" s="120">
        <v>0.2477</v>
      </c>
      <c r="K116" s="105"/>
      <c r="L116" s="121">
        <v>0.17</v>
      </c>
      <c r="M116" s="95"/>
      <c r="N116" s="107">
        <f t="shared" si="55"/>
        <v>-0.0777</v>
      </c>
      <c r="O116" s="108">
        <f t="shared" si="56"/>
        <v>-0.3136859104</v>
      </c>
      <c r="P116" s="109">
        <f t="shared" si="57"/>
        <v>-77700</v>
      </c>
      <c r="Q116" s="26"/>
      <c r="R116" s="26"/>
      <c r="S116" s="23"/>
      <c r="T116" s="26"/>
      <c r="U116" s="26"/>
      <c r="V116" s="24"/>
      <c r="W116" s="25"/>
      <c r="X116" s="23"/>
      <c r="Y116" s="23"/>
      <c r="Z116" s="113" t="s">
        <v>171</v>
      </c>
      <c r="AA116" s="114">
        <v>45691.0</v>
      </c>
      <c r="AB116" s="122">
        <v>0.2477</v>
      </c>
      <c r="AC116" s="35">
        <v>247700.0</v>
      </c>
    </row>
    <row r="117">
      <c r="A117" s="36"/>
      <c r="B117" s="26"/>
      <c r="C117" s="11">
        <f>I117/E129</f>
        <v>0.006196749306</v>
      </c>
      <c r="D117" s="118" t="s">
        <v>169</v>
      </c>
      <c r="E117" s="118" t="s">
        <v>170</v>
      </c>
      <c r="F117" s="119">
        <v>7.7</v>
      </c>
      <c r="G117" s="28">
        <v>1000000.0</v>
      </c>
      <c r="H117" s="15">
        <f t="shared" si="53"/>
        <v>167000</v>
      </c>
      <c r="I117" s="15">
        <f t="shared" si="54"/>
        <v>170000</v>
      </c>
      <c r="J117" s="120">
        <v>0.167</v>
      </c>
      <c r="K117" s="105"/>
      <c r="L117" s="121">
        <v>0.17</v>
      </c>
      <c r="M117" s="95"/>
      <c r="N117" s="107">
        <f t="shared" si="55"/>
        <v>0.003</v>
      </c>
      <c r="O117" s="108">
        <f t="shared" si="56"/>
        <v>0.01796407186</v>
      </c>
      <c r="P117" s="109">
        <f t="shared" si="57"/>
        <v>3000</v>
      </c>
      <c r="Q117" s="26"/>
      <c r="R117" s="26"/>
      <c r="S117" s="23"/>
      <c r="T117" s="26"/>
      <c r="U117" s="26"/>
      <c r="V117" s="24"/>
      <c r="W117" s="25"/>
      <c r="X117" s="23"/>
      <c r="Y117" s="23"/>
      <c r="Z117" s="113" t="s">
        <v>171</v>
      </c>
      <c r="AA117" s="114">
        <v>45730.0</v>
      </c>
      <c r="AB117" s="122">
        <v>0.167</v>
      </c>
      <c r="AC117" s="35">
        <v>167000.0</v>
      </c>
    </row>
    <row r="118">
      <c r="A118" s="36"/>
      <c r="B118" s="26"/>
      <c r="C118" s="11">
        <f>I118/E129</f>
        <v>0.002660957055</v>
      </c>
      <c r="D118" s="43" t="s">
        <v>172</v>
      </c>
      <c r="E118" s="43" t="s">
        <v>173</v>
      </c>
      <c r="F118" s="41">
        <v>7.7</v>
      </c>
      <c r="G118" s="28">
        <v>100000.0</v>
      </c>
      <c r="H118" s="15">
        <f t="shared" si="53"/>
        <v>67020</v>
      </c>
      <c r="I118" s="15">
        <f t="shared" si="54"/>
        <v>73000</v>
      </c>
      <c r="J118" s="116">
        <v>0.6702</v>
      </c>
      <c r="K118" s="105"/>
      <c r="L118" s="117">
        <v>0.73</v>
      </c>
      <c r="M118" s="95"/>
      <c r="N118" s="107">
        <f t="shared" si="55"/>
        <v>0.0598</v>
      </c>
      <c r="O118" s="108">
        <f t="shared" si="56"/>
        <v>0.08922709639</v>
      </c>
      <c r="P118" s="109">
        <f t="shared" si="57"/>
        <v>5980</v>
      </c>
      <c r="Q118" s="26"/>
      <c r="R118" s="26"/>
      <c r="S118" s="23"/>
      <c r="T118" s="26"/>
      <c r="U118" s="26"/>
      <c r="V118" s="24"/>
      <c r="W118" s="25"/>
      <c r="X118" s="23"/>
      <c r="Y118" s="23"/>
      <c r="Z118" s="113" t="s">
        <v>174</v>
      </c>
      <c r="AA118" s="114">
        <v>45691.0</v>
      </c>
      <c r="AB118" s="115">
        <v>0.6702</v>
      </c>
      <c r="AC118" s="35">
        <v>134040.0</v>
      </c>
    </row>
    <row r="119">
      <c r="A119" s="36"/>
      <c r="B119" s="26"/>
      <c r="C119" s="11">
        <f>I119/E129</f>
        <v>0</v>
      </c>
      <c r="D119" s="43" t="s">
        <v>172</v>
      </c>
      <c r="E119" s="43" t="s">
        <v>173</v>
      </c>
      <c r="F119" s="41">
        <v>7.7</v>
      </c>
      <c r="G119" s="28">
        <v>100000.0</v>
      </c>
      <c r="H119" s="15">
        <f t="shared" si="53"/>
        <v>67020</v>
      </c>
      <c r="I119" s="29">
        <v>0.0</v>
      </c>
      <c r="J119" s="116">
        <v>0.6702</v>
      </c>
      <c r="K119" s="105"/>
      <c r="L119" s="117">
        <v>0.73</v>
      </c>
      <c r="M119" s="123">
        <v>0.94</v>
      </c>
      <c r="N119" s="107">
        <f t="shared" si="55"/>
        <v>0.0598</v>
      </c>
      <c r="O119" s="108">
        <f>M119/J119-1</f>
        <v>0.4025663981</v>
      </c>
      <c r="P119" s="109">
        <f t="shared" si="57"/>
        <v>26980</v>
      </c>
      <c r="Q119" s="26"/>
      <c r="R119" s="26"/>
      <c r="S119" s="23"/>
      <c r="T119" s="26"/>
      <c r="U119" s="26"/>
      <c r="V119" s="33" t="s">
        <v>174</v>
      </c>
      <c r="W119" s="34">
        <v>45719.0</v>
      </c>
      <c r="X119" s="123">
        <v>0.94</v>
      </c>
      <c r="Y119" s="35">
        <v>94000.0</v>
      </c>
      <c r="Z119" s="113"/>
      <c r="AA119" s="114"/>
      <c r="AB119" s="124"/>
      <c r="AC119" s="35"/>
    </row>
    <row r="120">
      <c r="A120" s="36"/>
      <c r="B120" s="26"/>
      <c r="C120" s="11">
        <f>I120/E129</f>
        <v>0.003481115051</v>
      </c>
      <c r="D120" s="12" t="s">
        <v>175</v>
      </c>
      <c r="E120" s="40" t="s">
        <v>176</v>
      </c>
      <c r="F120" s="92">
        <v>7.8</v>
      </c>
      <c r="G120" s="28">
        <v>50.0</v>
      </c>
      <c r="H120" s="15">
        <f t="shared" si="53"/>
        <v>127600</v>
      </c>
      <c r="I120" s="15">
        <f t="shared" ref="I120:I121" si="58">H120+P120</f>
        <v>95500</v>
      </c>
      <c r="J120" s="29">
        <v>2552.0</v>
      </c>
      <c r="K120" s="105"/>
      <c r="L120" s="106">
        <v>1910.0</v>
      </c>
      <c r="M120" s="95"/>
      <c r="N120" s="107">
        <f t="shared" si="55"/>
        <v>-642</v>
      </c>
      <c r="O120" s="108">
        <f t="shared" ref="O120:O121" si="59">L120/J120-1</f>
        <v>-0.2515673981</v>
      </c>
      <c r="P120" s="109">
        <f t="shared" si="57"/>
        <v>-32100</v>
      </c>
      <c r="Q120" s="26"/>
      <c r="R120" s="26"/>
      <c r="S120" s="23"/>
      <c r="T120" s="26"/>
      <c r="U120" s="26"/>
      <c r="V120" s="24"/>
      <c r="W120" s="25"/>
      <c r="X120" s="23"/>
      <c r="Y120" s="23"/>
      <c r="Z120" s="113" t="s">
        <v>177</v>
      </c>
      <c r="AA120" s="114">
        <v>45691.0</v>
      </c>
      <c r="AB120" s="124">
        <v>2552.0</v>
      </c>
      <c r="AC120" s="35">
        <v>127600.0</v>
      </c>
    </row>
    <row r="121">
      <c r="A121" s="36"/>
      <c r="B121" s="26"/>
      <c r="C121" s="11">
        <f>I121/E129</f>
        <v>0.003481115051</v>
      </c>
      <c r="D121" s="12" t="s">
        <v>175</v>
      </c>
      <c r="E121" s="40" t="s">
        <v>176</v>
      </c>
      <c r="F121" s="92">
        <v>7.8</v>
      </c>
      <c r="G121" s="14">
        <v>50.0</v>
      </c>
      <c r="H121" s="15">
        <f t="shared" si="53"/>
        <v>167000</v>
      </c>
      <c r="I121" s="15">
        <f t="shared" si="58"/>
        <v>95500</v>
      </c>
      <c r="J121" s="29">
        <v>3340.0</v>
      </c>
      <c r="K121" s="105"/>
      <c r="L121" s="106">
        <v>1910.0</v>
      </c>
      <c r="M121" s="95"/>
      <c r="N121" s="107">
        <f t="shared" si="55"/>
        <v>-1430</v>
      </c>
      <c r="O121" s="108">
        <f t="shared" si="59"/>
        <v>-0.4281437126</v>
      </c>
      <c r="P121" s="109">
        <f t="shared" si="57"/>
        <v>-71500</v>
      </c>
      <c r="Q121" s="26"/>
      <c r="R121" s="26"/>
      <c r="S121" s="23"/>
      <c r="T121" s="26"/>
      <c r="U121" s="26"/>
      <c r="V121" s="24"/>
      <c r="W121" s="25"/>
      <c r="X121" s="23"/>
      <c r="Y121" s="23"/>
      <c r="Z121" s="110"/>
      <c r="AA121" s="111"/>
      <c r="AB121" s="125"/>
      <c r="AC121" s="23"/>
    </row>
    <row r="122">
      <c r="A122" s="55"/>
      <c r="B122" s="56"/>
      <c r="C122" s="4" t="s">
        <v>79</v>
      </c>
      <c r="D122" s="56"/>
      <c r="E122" s="56"/>
      <c r="F122" s="56"/>
      <c r="G122" s="57"/>
      <c r="H122" s="58">
        <f t="shared" ref="H122:I122" si="60">SUM(H111:H121)</f>
        <v>1770865</v>
      </c>
      <c r="I122" s="58">
        <f t="shared" si="60"/>
        <v>1365525</v>
      </c>
      <c r="J122" s="60"/>
      <c r="K122" s="56"/>
      <c r="L122" s="56"/>
      <c r="M122" s="56"/>
      <c r="N122" s="56"/>
      <c r="O122" s="75">
        <f>F127</f>
        <v>-0.2280002197</v>
      </c>
      <c r="P122" s="58">
        <f>SUM(P111:P121)</f>
        <v>-311340</v>
      </c>
      <c r="Q122" s="56"/>
      <c r="R122" s="56"/>
      <c r="S122" s="126"/>
      <c r="T122" s="58">
        <f>SUM(T111:T121)</f>
        <v>0</v>
      </c>
      <c r="U122" s="56"/>
      <c r="V122" s="4"/>
      <c r="W122" s="56"/>
      <c r="X122" s="60"/>
      <c r="Y122" s="58">
        <f>SUM(Y111:Y121)</f>
        <v>94000</v>
      </c>
      <c r="Z122" s="4" t="s">
        <v>79</v>
      </c>
      <c r="AA122" s="56"/>
      <c r="AB122" s="57"/>
      <c r="AC122" s="58">
        <f>SUM(AC111:AC121)</f>
        <v>1322690</v>
      </c>
    </row>
    <row r="123">
      <c r="A123" s="3" t="s">
        <v>178</v>
      </c>
      <c r="B123" s="4" t="s">
        <v>179</v>
      </c>
      <c r="C123" s="4" t="s">
        <v>180</v>
      </c>
      <c r="D123" s="4" t="s">
        <v>181</v>
      </c>
      <c r="E123" s="4" t="s">
        <v>182</v>
      </c>
      <c r="F123" s="4" t="s">
        <v>14</v>
      </c>
      <c r="G123" s="4" t="s">
        <v>183</v>
      </c>
      <c r="H123" s="4" t="s">
        <v>184</v>
      </c>
      <c r="I123" s="4" t="s">
        <v>185</v>
      </c>
      <c r="J123" s="4" t="s">
        <v>186</v>
      </c>
      <c r="K123" s="4" t="s">
        <v>187</v>
      </c>
      <c r="L123" s="56"/>
      <c r="M123" s="56"/>
      <c r="N123" s="56"/>
      <c r="O123" s="56"/>
      <c r="P123" s="56"/>
      <c r="Q123" s="56"/>
      <c r="R123" s="127"/>
      <c r="S123" s="128"/>
      <c r="T123" s="129"/>
      <c r="U123" s="127"/>
      <c r="V123" s="127"/>
      <c r="W123" s="127"/>
      <c r="X123" s="127"/>
      <c r="Y123" s="127"/>
      <c r="Z123" s="127"/>
      <c r="AA123" s="127"/>
      <c r="AB123" s="127"/>
      <c r="AC123" s="127"/>
    </row>
    <row r="124">
      <c r="A124" s="97" t="s">
        <v>188</v>
      </c>
      <c r="B124" s="11">
        <f>B4</f>
        <v>0.7199201997</v>
      </c>
      <c r="C124" s="15">
        <f>H46</f>
        <v>26785719</v>
      </c>
      <c r="D124" s="29">
        <v>1.5840934E7</v>
      </c>
      <c r="E124" s="15">
        <f>I46</f>
        <v>19750102.5</v>
      </c>
      <c r="F124" s="21">
        <f t="shared" ref="F124:G124" si="61">O46</f>
        <v>-0.09200225314</v>
      </c>
      <c r="G124" s="130">
        <f t="shared" si="61"/>
        <v>-2493696.5</v>
      </c>
      <c r="H124" s="130">
        <f>T109+T88+T68+T61+T55+T46</f>
        <v>66850</v>
      </c>
      <c r="I124" s="130">
        <f>R109+R88+R46</f>
        <v>0</v>
      </c>
      <c r="J124" s="130">
        <f>AB141</f>
        <v>0</v>
      </c>
      <c r="K124" s="130">
        <f>G124+H124+G126+I124+J124+G125</f>
        <v>-1114724</v>
      </c>
      <c r="L124" s="26"/>
      <c r="M124" s="26"/>
      <c r="N124" s="26"/>
      <c r="O124" s="26"/>
      <c r="P124" s="26"/>
      <c r="Q124" s="26"/>
      <c r="R124" s="127"/>
      <c r="S124" s="128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</row>
    <row r="125">
      <c r="A125" s="131" t="s">
        <v>189</v>
      </c>
      <c r="B125" s="11">
        <f>(I55+I88+I68+I61)/E129</f>
        <v>0.1745734363</v>
      </c>
      <c r="C125" s="15">
        <f>H55+H88+H61+H68</f>
        <v>10033522.5</v>
      </c>
      <c r="D125" s="29">
        <v>7058468.0</v>
      </c>
      <c r="E125" s="15">
        <f>I55+I88+I61+I68</f>
        <v>4789202</v>
      </c>
      <c r="F125" s="21">
        <f>G125/E125</f>
        <v>0.08462735546</v>
      </c>
      <c r="G125" s="130">
        <f>P55+P88+P61+P68</f>
        <v>405297.5</v>
      </c>
      <c r="H125" s="132"/>
      <c r="I125" s="132"/>
      <c r="J125" s="132"/>
      <c r="K125" s="133">
        <f>K124/(D125+D126+D124)</f>
        <v>-0.03929099798</v>
      </c>
      <c r="L125" s="26"/>
      <c r="M125" s="26"/>
      <c r="N125" s="26"/>
      <c r="O125" s="26"/>
      <c r="P125" s="26"/>
      <c r="Q125" s="26"/>
      <c r="R125" s="127"/>
      <c r="S125" s="128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</row>
    <row r="126">
      <c r="A126" s="97" t="s">
        <v>190</v>
      </c>
      <c r="B126" s="11">
        <f>E126/E129</f>
        <v>0.08500299731</v>
      </c>
      <c r="C126" s="15">
        <f>H109</f>
        <v>5471575</v>
      </c>
      <c r="D126" s="29">
        <v>5471575.0</v>
      </c>
      <c r="E126" s="15">
        <f>I109</f>
        <v>2331950</v>
      </c>
      <c r="F126" s="21">
        <f t="shared" ref="F126:G126" si="62">O109</f>
        <v>0.2590928571</v>
      </c>
      <c r="G126" s="130">
        <f t="shared" si="62"/>
        <v>906825</v>
      </c>
      <c r="H126" s="134"/>
      <c r="I126" s="134"/>
      <c r="J126" s="134"/>
      <c r="K126" s="134"/>
      <c r="L126" s="26"/>
      <c r="M126" s="26"/>
      <c r="N126" s="26"/>
      <c r="O126" s="26"/>
      <c r="P126" s="26"/>
      <c r="Q126" s="26"/>
      <c r="R126" s="127"/>
      <c r="S126" s="128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</row>
    <row r="127">
      <c r="A127" s="97" t="s">
        <v>191</v>
      </c>
      <c r="B127" s="11">
        <f>E127/E129</f>
        <v>0.0497753888</v>
      </c>
      <c r="C127" s="15">
        <f>H122</f>
        <v>1770865</v>
      </c>
      <c r="D127" s="29">
        <v>448175.0</v>
      </c>
      <c r="E127" s="15">
        <f>I122</f>
        <v>1365525</v>
      </c>
      <c r="F127" s="21">
        <f>G127/E127</f>
        <v>-0.2280002197</v>
      </c>
      <c r="G127" s="130">
        <f>P122</f>
        <v>-311340</v>
      </c>
      <c r="H127" s="135"/>
      <c r="I127" s="135"/>
      <c r="J127" s="135"/>
      <c r="K127" s="135"/>
      <c r="L127" s="26"/>
      <c r="M127" s="26"/>
      <c r="N127" s="26"/>
      <c r="O127" s="26"/>
      <c r="P127" s="26"/>
      <c r="Q127" s="26"/>
      <c r="R127" s="127"/>
      <c r="S127" s="128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</row>
    <row r="128">
      <c r="A128" s="97" t="s">
        <v>192</v>
      </c>
      <c r="B128" s="11">
        <f>E128/E129</f>
        <v>-0.02927202211</v>
      </c>
      <c r="C128" s="136" t="s">
        <v>160</v>
      </c>
      <c r="D128" s="137">
        <v>-26869.0</v>
      </c>
      <c r="E128" s="137">
        <f>D128+(G128)+(Y46+Y55+Y61+Y68+Y88+Y109+Y122)-(AC122+AC109+AC88+AC68+AC61+AC55+AC46)</f>
        <v>-803041</v>
      </c>
      <c r="F128" s="138" t="s">
        <v>160</v>
      </c>
      <c r="G128" s="130">
        <f>H124+I124+J124</f>
        <v>66850</v>
      </c>
      <c r="H128" s="139" t="s">
        <v>193</v>
      </c>
      <c r="I128" s="140" t="s">
        <v>194</v>
      </c>
      <c r="J128" s="140" t="s">
        <v>195</v>
      </c>
      <c r="K128" s="139" t="s">
        <v>196</v>
      </c>
      <c r="L128" s="26"/>
      <c r="M128" s="26"/>
      <c r="N128" s="26"/>
      <c r="O128" s="26"/>
      <c r="P128" s="26"/>
      <c r="Q128" s="26"/>
      <c r="R128" s="127"/>
      <c r="S128" s="128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</row>
    <row r="129">
      <c r="A129" s="3" t="s">
        <v>197</v>
      </c>
      <c r="B129" s="75">
        <v>1.0</v>
      </c>
      <c r="C129" s="58" t="s">
        <v>160</v>
      </c>
      <c r="D129" s="58">
        <f t="shared" ref="D129:E129" si="63">SUM(D124:D128)</f>
        <v>28792283</v>
      </c>
      <c r="E129" s="58">
        <f t="shared" si="63"/>
        <v>27433738.5</v>
      </c>
      <c r="F129" s="21">
        <f>G129/D129</f>
        <v>-0.04952938258</v>
      </c>
      <c r="G129" s="58">
        <f>SUM(G124:G128)</f>
        <v>-1426064</v>
      </c>
      <c r="H129" s="141">
        <v>2.8792283E7</v>
      </c>
      <c r="I129" s="142">
        <f>E129</f>
        <v>27433738.5</v>
      </c>
      <c r="J129" s="58">
        <f>G129</f>
        <v>-1426064</v>
      </c>
      <c r="K129" s="21">
        <f>J129/H129</f>
        <v>-0.04952938258</v>
      </c>
      <c r="L129" s="56"/>
      <c r="M129" s="56"/>
      <c r="N129" s="56"/>
      <c r="O129" s="56"/>
      <c r="P129" s="56"/>
      <c r="Q129" s="56"/>
      <c r="R129" s="127"/>
      <c r="S129" s="128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</row>
    <row r="130">
      <c r="A130" s="143" t="s">
        <v>198</v>
      </c>
      <c r="B130" s="144"/>
      <c r="C130" s="145"/>
      <c r="D130" s="145"/>
      <c r="E130" s="145"/>
      <c r="F130" s="145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7"/>
    </row>
    <row r="131">
      <c r="A131" s="146" t="s">
        <v>199</v>
      </c>
      <c r="B131" s="147"/>
      <c r="C131" s="148" t="s">
        <v>200</v>
      </c>
      <c r="D131" s="149" t="s">
        <v>201</v>
      </c>
      <c r="E131" s="149" t="s">
        <v>202</v>
      </c>
      <c r="F131" s="150" t="s">
        <v>203</v>
      </c>
      <c r="G131" s="128"/>
      <c r="H131" s="151" t="s">
        <v>204</v>
      </c>
      <c r="I131" s="151" t="s">
        <v>205</v>
      </c>
      <c r="J131" s="151" t="s">
        <v>206</v>
      </c>
      <c r="K131" s="151" t="s">
        <v>207</v>
      </c>
      <c r="L131" s="151" t="s">
        <v>208</v>
      </c>
      <c r="M131" s="151" t="s">
        <v>209</v>
      </c>
      <c r="N131" s="151" t="s">
        <v>210</v>
      </c>
      <c r="O131" s="151" t="s">
        <v>211</v>
      </c>
      <c r="P131" s="151" t="s">
        <v>212</v>
      </c>
      <c r="Q131" s="151" t="s">
        <v>213</v>
      </c>
      <c r="R131" s="127"/>
      <c r="S131" s="151" t="s">
        <v>214</v>
      </c>
      <c r="T131" s="151" t="s">
        <v>205</v>
      </c>
      <c r="U131" s="151" t="s">
        <v>215</v>
      </c>
      <c r="V131" s="151" t="s">
        <v>207</v>
      </c>
      <c r="W131" s="151" t="s">
        <v>208</v>
      </c>
      <c r="X131" s="151" t="s">
        <v>209</v>
      </c>
      <c r="Y131" s="151" t="s">
        <v>210</v>
      </c>
      <c r="Z131" s="151" t="s">
        <v>211</v>
      </c>
      <c r="AA131" s="151" t="s">
        <v>212</v>
      </c>
      <c r="AB131" s="151" t="s">
        <v>213</v>
      </c>
      <c r="AC131" s="127"/>
    </row>
    <row r="132">
      <c r="A132" s="97" t="s">
        <v>216</v>
      </c>
      <c r="B132" s="12" t="s">
        <v>217</v>
      </c>
      <c r="C132" s="152">
        <v>42544.0</v>
      </c>
      <c r="D132" s="153">
        <f>IFERROR(__xludf.DUMMYFUNCTION("googlefinance(B132,""price"")"),41964.63)</f>
        <v>41964.63</v>
      </c>
      <c r="E132" s="154">
        <f t="shared" ref="E132:E136" si="64">D132-C132</f>
        <v>-579.37</v>
      </c>
      <c r="F132" s="155">
        <f t="shared" ref="F132:F136" si="65">D132/C132-1</f>
        <v>-0.01361813652</v>
      </c>
      <c r="G132" s="156"/>
      <c r="H132" s="157">
        <v>10000.0</v>
      </c>
      <c r="I132" s="110" t="s">
        <v>45</v>
      </c>
      <c r="J132" s="158">
        <v>45630.0</v>
      </c>
      <c r="K132" s="158">
        <v>45674.0</v>
      </c>
      <c r="L132" s="159">
        <v>72.5</v>
      </c>
      <c r="M132" s="159">
        <v>3.4</v>
      </c>
      <c r="N132" s="160">
        <v>34000.0</v>
      </c>
      <c r="O132" s="114">
        <v>45664.0</v>
      </c>
      <c r="P132" s="161">
        <v>2.3</v>
      </c>
      <c r="Q132" s="162">
        <v>11000.0</v>
      </c>
      <c r="R132" s="127"/>
      <c r="S132" s="1"/>
      <c r="T132" s="144"/>
      <c r="U132" s="111"/>
      <c r="V132" s="111"/>
      <c r="W132" s="125"/>
      <c r="X132" s="163"/>
      <c r="Y132" s="112"/>
      <c r="Z132" s="111"/>
      <c r="AA132" s="163"/>
      <c r="AB132" s="112"/>
      <c r="AC132" s="127"/>
    </row>
    <row r="133">
      <c r="A133" s="97" t="s">
        <v>218</v>
      </c>
      <c r="B133" s="12" t="s">
        <v>219</v>
      </c>
      <c r="C133" s="152">
        <v>5882.0</v>
      </c>
      <c r="D133" s="153">
        <f>IFERROR(__xludf.DUMMYFUNCTION("googlefinance(B133,""price"")"),5675.29)</f>
        <v>5675.29</v>
      </c>
      <c r="E133" s="154">
        <f t="shared" si="64"/>
        <v>-206.71</v>
      </c>
      <c r="F133" s="155">
        <f t="shared" si="65"/>
        <v>-0.03514280857</v>
      </c>
      <c r="G133" s="156"/>
      <c r="H133" s="164">
        <v>10000.0</v>
      </c>
      <c r="I133" s="113" t="s">
        <v>117</v>
      </c>
      <c r="J133" s="165">
        <v>45660.0</v>
      </c>
      <c r="K133" s="165">
        <v>45709.0</v>
      </c>
      <c r="L133" s="166">
        <v>30.0</v>
      </c>
      <c r="M133" s="166">
        <v>3.5</v>
      </c>
      <c r="N133" s="162">
        <v>35000.0</v>
      </c>
      <c r="O133" s="165">
        <v>45667.0</v>
      </c>
      <c r="P133" s="166">
        <v>2.19</v>
      </c>
      <c r="Q133" s="162">
        <v>13100.0</v>
      </c>
      <c r="R133" s="127"/>
      <c r="S133" s="1"/>
      <c r="T133" s="144"/>
      <c r="U133" s="111"/>
      <c r="V133" s="111"/>
      <c r="W133" s="125"/>
      <c r="X133" s="163"/>
      <c r="Y133" s="112"/>
      <c r="Z133" s="111"/>
      <c r="AA133" s="163"/>
      <c r="AB133" s="112"/>
      <c r="AC133" s="127"/>
    </row>
    <row r="134">
      <c r="A134" s="97" t="s">
        <v>220</v>
      </c>
      <c r="B134" s="12" t="s">
        <v>221</v>
      </c>
      <c r="C134" s="152">
        <v>19311.0</v>
      </c>
      <c r="D134" s="153">
        <f>IFERROR(__xludf.DUMMYFUNCTION("googlefinance(B134,""price"")"),17750.79)</f>
        <v>17750.79</v>
      </c>
      <c r="E134" s="154">
        <f t="shared" si="64"/>
        <v>-1560.21</v>
      </c>
      <c r="F134" s="155">
        <f t="shared" si="65"/>
        <v>-0.08079384807</v>
      </c>
      <c r="G134" s="156"/>
      <c r="H134" s="167">
        <v>2000.0</v>
      </c>
      <c r="I134" s="168" t="s">
        <v>36</v>
      </c>
      <c r="J134" s="169">
        <v>45663.0</v>
      </c>
      <c r="K134" s="169">
        <v>45709.0</v>
      </c>
      <c r="L134" s="170">
        <v>450.0</v>
      </c>
      <c r="M134" s="170">
        <v>23.0</v>
      </c>
      <c r="N134" s="171">
        <v>46000.0</v>
      </c>
      <c r="O134" s="169">
        <v>45667.0</v>
      </c>
      <c r="P134" s="172">
        <v>16.65</v>
      </c>
      <c r="Q134" s="171">
        <v>12700.0</v>
      </c>
      <c r="R134" s="127"/>
      <c r="S134" s="1"/>
      <c r="T134" s="144"/>
      <c r="U134" s="111"/>
      <c r="V134" s="111"/>
      <c r="W134" s="125"/>
      <c r="X134" s="163"/>
      <c r="Y134" s="112"/>
      <c r="Z134" s="111"/>
      <c r="AA134" s="163"/>
      <c r="AB134" s="112"/>
      <c r="AC134" s="127"/>
    </row>
    <row r="135">
      <c r="A135" s="97" t="s">
        <v>222</v>
      </c>
      <c r="B135" s="12" t="s">
        <v>223</v>
      </c>
      <c r="C135" s="153">
        <v>2230.0</v>
      </c>
      <c r="D135" s="153">
        <f>IFERROR(__xludf.DUMMYFUNCTION("googlefinance(B135,""price"")"),2082.08)</f>
        <v>2082.08</v>
      </c>
      <c r="E135" s="154">
        <f t="shared" si="64"/>
        <v>-147.92</v>
      </c>
      <c r="F135" s="155">
        <f t="shared" si="65"/>
        <v>-0.06633183857</v>
      </c>
      <c r="G135" s="156"/>
      <c r="H135" s="167">
        <v>20000.0</v>
      </c>
      <c r="I135" s="168" t="s">
        <v>78</v>
      </c>
      <c r="J135" s="169">
        <v>45667.0</v>
      </c>
      <c r="K135" s="169">
        <v>45709.0</v>
      </c>
      <c r="L135" s="170">
        <v>15.0</v>
      </c>
      <c r="M135" s="170">
        <v>1.05</v>
      </c>
      <c r="N135" s="171">
        <v>21000.0</v>
      </c>
      <c r="O135" s="169">
        <v>45670.0</v>
      </c>
      <c r="P135" s="170">
        <v>0.6</v>
      </c>
      <c r="Q135" s="171">
        <v>9000.0</v>
      </c>
      <c r="R135" s="127"/>
      <c r="S135" s="1"/>
      <c r="T135" s="144"/>
      <c r="U135" s="111"/>
      <c r="V135" s="111"/>
      <c r="W135" s="125"/>
      <c r="X135" s="163"/>
      <c r="Y135" s="112"/>
      <c r="Z135" s="111"/>
      <c r="AA135" s="163"/>
      <c r="AB135" s="112"/>
      <c r="AC135" s="127"/>
    </row>
    <row r="136">
      <c r="A136" s="97" t="s">
        <v>224</v>
      </c>
      <c r="B136" s="12" t="s">
        <v>225</v>
      </c>
      <c r="C136" s="152">
        <v>19097.0</v>
      </c>
      <c r="D136" s="153">
        <f>IFERROR(__xludf.DUMMYFUNCTION("googlefinance(B136,""price"")"),19581.32)</f>
        <v>19581.32</v>
      </c>
      <c r="E136" s="154">
        <f t="shared" si="64"/>
        <v>484.32</v>
      </c>
      <c r="F136" s="155">
        <f t="shared" si="65"/>
        <v>0.02536105147</v>
      </c>
      <c r="G136" s="156"/>
      <c r="H136" s="167">
        <v>10000.0</v>
      </c>
      <c r="I136" s="173" t="s">
        <v>117</v>
      </c>
      <c r="J136" s="174">
        <v>45678.0</v>
      </c>
      <c r="K136" s="174">
        <v>45709.0</v>
      </c>
      <c r="L136" s="175">
        <v>35.0</v>
      </c>
      <c r="M136" s="175">
        <v>2.44</v>
      </c>
      <c r="N136" s="176">
        <v>24400.0</v>
      </c>
      <c r="O136" s="174">
        <v>45684.0</v>
      </c>
      <c r="P136" s="175">
        <v>3.2</v>
      </c>
      <c r="Q136" s="176">
        <v>-7600.0</v>
      </c>
      <c r="R136" s="127"/>
      <c r="S136" s="1"/>
      <c r="T136" s="144"/>
      <c r="U136" s="111"/>
      <c r="V136" s="111"/>
      <c r="W136" s="125"/>
      <c r="X136" s="163"/>
      <c r="Y136" s="112"/>
      <c r="Z136" s="111"/>
      <c r="AA136" s="163"/>
      <c r="AB136" s="112"/>
      <c r="AC136" s="127"/>
    </row>
    <row r="137">
      <c r="A137" s="127"/>
      <c r="B137" s="127"/>
      <c r="C137" s="127"/>
      <c r="D137" s="127"/>
      <c r="E137" s="127"/>
      <c r="F137" s="127"/>
      <c r="G137" s="127"/>
      <c r="H137" s="167">
        <v>5000.0</v>
      </c>
      <c r="I137" s="173" t="s">
        <v>45</v>
      </c>
      <c r="J137" s="174">
        <v>45679.0</v>
      </c>
      <c r="K137" s="174">
        <v>45709.0</v>
      </c>
      <c r="L137" s="175">
        <v>80.0</v>
      </c>
      <c r="M137" s="175">
        <v>5.4</v>
      </c>
      <c r="N137" s="176">
        <v>27000.0</v>
      </c>
      <c r="O137" s="177" t="s">
        <v>160</v>
      </c>
      <c r="P137" s="175" t="s">
        <v>226</v>
      </c>
      <c r="Q137" s="176">
        <v>27000.0</v>
      </c>
      <c r="R137" s="127"/>
      <c r="S137" s="1"/>
      <c r="T137" s="144"/>
      <c r="U137" s="111"/>
      <c r="V137" s="111"/>
      <c r="W137" s="125"/>
      <c r="X137" s="163"/>
      <c r="Y137" s="112"/>
      <c r="Z137" s="111"/>
      <c r="AA137" s="163"/>
      <c r="AB137" s="112"/>
      <c r="AC137" s="127"/>
    </row>
    <row r="138">
      <c r="A138" s="150" t="s">
        <v>199</v>
      </c>
      <c r="B138" s="178"/>
      <c r="C138" s="179" t="s">
        <v>227</v>
      </c>
      <c r="D138" s="150" t="s">
        <v>201</v>
      </c>
      <c r="E138" s="150" t="s">
        <v>228</v>
      </c>
      <c r="F138" s="150" t="s">
        <v>229</v>
      </c>
      <c r="G138" s="127"/>
      <c r="H138" s="164">
        <v>10000.0</v>
      </c>
      <c r="I138" s="113" t="s">
        <v>117</v>
      </c>
      <c r="J138" s="174">
        <v>45688.0</v>
      </c>
      <c r="K138" s="165">
        <v>45737.0</v>
      </c>
      <c r="L138" s="166">
        <v>50.0</v>
      </c>
      <c r="M138" s="166">
        <v>6.2</v>
      </c>
      <c r="N138" s="162">
        <v>62000.0</v>
      </c>
      <c r="O138" s="174">
        <v>45708.0</v>
      </c>
      <c r="P138" s="166">
        <v>3.0</v>
      </c>
      <c r="Q138" s="162">
        <v>32000.0</v>
      </c>
      <c r="R138" s="127"/>
      <c r="S138" s="1"/>
      <c r="T138" s="144"/>
      <c r="U138" s="111"/>
      <c r="V138" s="111"/>
      <c r="W138" s="125"/>
      <c r="X138" s="163"/>
      <c r="Y138" s="112"/>
      <c r="Z138" s="111"/>
      <c r="AA138" s="163"/>
      <c r="AB138" s="112"/>
      <c r="AC138" s="127"/>
    </row>
    <row r="139">
      <c r="A139" s="180" t="s">
        <v>216</v>
      </c>
      <c r="B139" s="180" t="s">
        <v>217</v>
      </c>
      <c r="C139" s="152">
        <v>42544.0</v>
      </c>
      <c r="D139" s="181">
        <f>IFERROR(__xludf.DUMMYFUNCTION("googlefinance(B139,""price"")"),41964.63)</f>
        <v>41964.63</v>
      </c>
      <c r="E139" s="182">
        <f t="shared" ref="E139:E143" si="66">D139-C139</f>
        <v>-579.37</v>
      </c>
      <c r="F139" s="183">
        <f t="shared" ref="F139:F143" si="67">D139/C139-1</f>
        <v>-0.01361813652</v>
      </c>
      <c r="G139" s="127"/>
      <c r="H139" s="164">
        <v>500.0</v>
      </c>
      <c r="I139" s="113" t="s">
        <v>58</v>
      </c>
      <c r="J139" s="165">
        <v>45688.0</v>
      </c>
      <c r="K139" s="165">
        <v>45737.0</v>
      </c>
      <c r="L139" s="166">
        <v>700.0</v>
      </c>
      <c r="M139" s="166">
        <v>28.8</v>
      </c>
      <c r="N139" s="162">
        <v>14400.0</v>
      </c>
      <c r="O139" s="114">
        <v>45708.0</v>
      </c>
      <c r="P139" s="161">
        <v>21.5</v>
      </c>
      <c r="Q139" s="162">
        <v>3650.0</v>
      </c>
      <c r="R139" s="127"/>
      <c r="S139" s="1"/>
      <c r="T139" s="144"/>
      <c r="U139" s="111"/>
      <c r="V139" s="111"/>
      <c r="W139" s="125"/>
      <c r="X139" s="163"/>
      <c r="Y139" s="112"/>
      <c r="Z139" s="111"/>
      <c r="AA139" s="163"/>
      <c r="AB139" s="112"/>
      <c r="AC139" s="127"/>
    </row>
    <row r="140">
      <c r="A140" s="180" t="s">
        <v>218</v>
      </c>
      <c r="B140" s="180" t="s">
        <v>219</v>
      </c>
      <c r="C140" s="152">
        <v>5882.0</v>
      </c>
      <c r="D140" s="181">
        <f>IFERROR(__xludf.DUMMYFUNCTION("googlefinance(B140,""price"")"),5675.29)</f>
        <v>5675.29</v>
      </c>
      <c r="E140" s="182">
        <f t="shared" si="66"/>
        <v>-206.71</v>
      </c>
      <c r="F140" s="183">
        <f t="shared" si="67"/>
        <v>-0.03514280857</v>
      </c>
      <c r="G140" s="127"/>
      <c r="H140" s="157"/>
      <c r="I140" s="110"/>
      <c r="J140" s="158"/>
      <c r="K140" s="158"/>
      <c r="L140" s="159"/>
      <c r="M140" s="159"/>
      <c r="N140" s="160"/>
      <c r="O140" s="144"/>
      <c r="P140" s="125"/>
      <c r="Q140" s="160"/>
      <c r="R140" s="127"/>
      <c r="S140" s="1"/>
      <c r="T140" s="144"/>
      <c r="U140" s="111"/>
      <c r="V140" s="111"/>
      <c r="W140" s="125"/>
      <c r="X140" s="163"/>
      <c r="Y140" s="112"/>
      <c r="Z140" s="111"/>
      <c r="AA140" s="163"/>
      <c r="AB140" s="112"/>
      <c r="AC140" s="127"/>
    </row>
    <row r="141">
      <c r="A141" s="180" t="s">
        <v>220</v>
      </c>
      <c r="B141" s="180" t="s">
        <v>221</v>
      </c>
      <c r="C141" s="152">
        <v>19311.0</v>
      </c>
      <c r="D141" s="181">
        <f>IFERROR(__xludf.DUMMYFUNCTION("googlefinance(B141,""price"")"),17750.79)</f>
        <v>17750.79</v>
      </c>
      <c r="E141" s="182">
        <f t="shared" si="66"/>
        <v>-1560.21</v>
      </c>
      <c r="F141" s="183">
        <f t="shared" si="67"/>
        <v>-0.08079384807</v>
      </c>
      <c r="G141" s="127"/>
      <c r="H141" s="157"/>
      <c r="I141" s="184"/>
      <c r="J141" s="185"/>
      <c r="K141" s="158"/>
      <c r="L141" s="186"/>
      <c r="M141" s="186"/>
      <c r="N141" s="187"/>
      <c r="O141" s="185"/>
      <c r="P141" s="186"/>
      <c r="Q141" s="187"/>
      <c r="R141" s="127"/>
      <c r="S141" s="188" t="s">
        <v>79</v>
      </c>
      <c r="T141" s="126"/>
      <c r="U141" s="126"/>
      <c r="V141" s="126"/>
      <c r="W141" s="126"/>
      <c r="X141" s="126"/>
      <c r="Y141" s="189">
        <f>SUM(Y132:Y140)</f>
        <v>0</v>
      </c>
      <c r="Z141" s="126"/>
      <c r="AA141" s="190"/>
      <c r="AB141" s="189">
        <f>SUM(AB132:AB140)</f>
        <v>0</v>
      </c>
      <c r="AC141" s="127"/>
    </row>
    <row r="142">
      <c r="A142" s="180" t="s">
        <v>222</v>
      </c>
      <c r="B142" s="180" t="s">
        <v>223</v>
      </c>
      <c r="C142" s="153">
        <v>2230.0</v>
      </c>
      <c r="D142" s="181">
        <f>IFERROR(__xludf.DUMMYFUNCTION("googlefinance(B142,""price"")"),2082.08)</f>
        <v>2082.08</v>
      </c>
      <c r="E142" s="182">
        <f t="shared" si="66"/>
        <v>-147.92</v>
      </c>
      <c r="F142" s="183">
        <f t="shared" si="67"/>
        <v>-0.06633183857</v>
      </c>
      <c r="G142" s="127"/>
      <c r="H142" s="157"/>
      <c r="I142" s="110"/>
      <c r="J142" s="158"/>
      <c r="K142" s="158"/>
      <c r="L142" s="159"/>
      <c r="M142" s="159"/>
      <c r="N142" s="160"/>
      <c r="O142" s="158"/>
      <c r="P142" s="159"/>
      <c r="Q142" s="160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</row>
    <row r="143">
      <c r="A143" s="180" t="s">
        <v>224</v>
      </c>
      <c r="B143" s="180" t="s">
        <v>225</v>
      </c>
      <c r="C143" s="152">
        <v>19097.0</v>
      </c>
      <c r="D143" s="181">
        <f>IFERROR(__xludf.DUMMYFUNCTION("googlefinance(B143,""price"")"),19581.32)</f>
        <v>19581.32</v>
      </c>
      <c r="E143" s="182">
        <f t="shared" si="66"/>
        <v>484.32</v>
      </c>
      <c r="F143" s="183">
        <f t="shared" si="67"/>
        <v>0.02536105147</v>
      </c>
      <c r="G143" s="127"/>
      <c r="H143" s="157"/>
      <c r="I143" s="110"/>
      <c r="J143" s="158"/>
      <c r="K143" s="158"/>
      <c r="L143" s="159"/>
      <c r="M143" s="159"/>
      <c r="N143" s="160"/>
      <c r="O143" s="111"/>
      <c r="P143" s="163"/>
      <c r="Q143" s="160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</row>
    <row r="144">
      <c r="A144" s="127"/>
      <c r="B144" s="127"/>
      <c r="C144" s="127"/>
      <c r="D144" s="127"/>
      <c r="E144" s="127"/>
      <c r="F144" s="127"/>
      <c r="G144" s="127"/>
      <c r="H144" s="157"/>
      <c r="I144" s="110"/>
      <c r="J144" s="158"/>
      <c r="K144" s="158"/>
      <c r="L144" s="159"/>
      <c r="M144" s="159"/>
      <c r="N144" s="160"/>
      <c r="O144" s="111"/>
      <c r="P144" s="163"/>
      <c r="Q144" s="160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</row>
    <row r="145">
      <c r="A145" s="191" t="s">
        <v>230</v>
      </c>
      <c r="B145" s="192" t="s">
        <v>231</v>
      </c>
      <c r="C145" s="127"/>
      <c r="D145" s="127"/>
      <c r="E145" s="127"/>
      <c r="F145" s="127"/>
      <c r="G145" s="127"/>
      <c r="H145" s="157"/>
      <c r="I145" s="110"/>
      <c r="J145" s="158"/>
      <c r="K145" s="158"/>
      <c r="L145" s="159"/>
      <c r="M145" s="159"/>
      <c r="N145" s="160"/>
      <c r="O145" s="158"/>
      <c r="P145" s="159"/>
      <c r="Q145" s="160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</row>
    <row r="146">
      <c r="A146" s="191" t="s">
        <v>232</v>
      </c>
      <c r="B146" s="192" t="s">
        <v>233</v>
      </c>
      <c r="C146" s="127"/>
      <c r="D146" s="127"/>
      <c r="E146" s="127"/>
      <c r="F146" s="127"/>
      <c r="G146" s="127"/>
      <c r="H146" s="193"/>
      <c r="I146" s="144"/>
      <c r="J146" s="111"/>
      <c r="K146" s="111"/>
      <c r="L146" s="163"/>
      <c r="M146" s="163"/>
      <c r="N146" s="112"/>
      <c r="O146" s="111"/>
      <c r="P146" s="163"/>
      <c r="Q146" s="112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</row>
    <row r="147">
      <c r="A147" s="191" t="s">
        <v>234</v>
      </c>
      <c r="B147" s="192" t="s">
        <v>235</v>
      </c>
      <c r="C147" s="127"/>
      <c r="D147" s="127"/>
      <c r="E147" s="127"/>
      <c r="F147" s="127"/>
      <c r="G147" s="127"/>
      <c r="H147" s="193"/>
      <c r="I147" s="144"/>
      <c r="J147" s="111"/>
      <c r="K147" s="111"/>
      <c r="L147" s="163"/>
      <c r="M147" s="163"/>
      <c r="N147" s="112"/>
      <c r="O147" s="111"/>
      <c r="P147" s="163"/>
      <c r="Q147" s="112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</row>
    <row r="148">
      <c r="A148" s="191" t="s">
        <v>236</v>
      </c>
      <c r="B148" s="192" t="s">
        <v>237</v>
      </c>
      <c r="C148" s="127"/>
      <c r="D148" s="127"/>
      <c r="E148" s="127"/>
      <c r="F148" s="127"/>
      <c r="G148" s="127"/>
      <c r="H148" s="193"/>
      <c r="I148" s="144"/>
      <c r="J148" s="111"/>
      <c r="K148" s="111"/>
      <c r="L148" s="163"/>
      <c r="M148" s="163"/>
      <c r="N148" s="112"/>
      <c r="O148" s="111"/>
      <c r="P148" s="163"/>
      <c r="Q148" s="112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</row>
    <row r="149">
      <c r="A149" s="127"/>
      <c r="B149" s="127"/>
      <c r="C149" s="127"/>
      <c r="D149" s="127"/>
      <c r="E149" s="127"/>
      <c r="F149" s="127"/>
      <c r="G149" s="127"/>
      <c r="H149" s="193"/>
      <c r="I149" s="144"/>
      <c r="J149" s="111"/>
      <c r="K149" s="111"/>
      <c r="L149" s="163"/>
      <c r="M149" s="163"/>
      <c r="N149" s="112"/>
      <c r="O149" s="111"/>
      <c r="P149" s="163"/>
      <c r="Q149" s="112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</row>
    <row r="150">
      <c r="A150" s="127"/>
      <c r="B150" s="127"/>
      <c r="C150" s="127"/>
      <c r="D150" s="127"/>
      <c r="E150" s="127"/>
      <c r="F150" s="127"/>
      <c r="G150" s="127"/>
      <c r="H150" s="193"/>
      <c r="I150" s="144"/>
      <c r="J150" s="111"/>
      <c r="K150" s="111"/>
      <c r="L150" s="163"/>
      <c r="M150" s="163"/>
      <c r="N150" s="112"/>
      <c r="O150" s="111"/>
      <c r="P150" s="163"/>
      <c r="Q150" s="112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</row>
    <row r="151">
      <c r="A151" s="127"/>
      <c r="B151" s="127"/>
      <c r="C151" s="127"/>
      <c r="D151" s="127"/>
      <c r="E151" s="127"/>
      <c r="F151" s="127"/>
      <c r="G151" s="127"/>
      <c r="H151" s="193"/>
      <c r="I151" s="194"/>
      <c r="J151" s="111"/>
      <c r="K151" s="111"/>
      <c r="L151" s="32"/>
      <c r="M151" s="32"/>
      <c r="N151" s="195"/>
      <c r="O151" s="196"/>
      <c r="P151" s="32"/>
      <c r="Q151" s="195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</row>
    <row r="152">
      <c r="A152" s="127"/>
      <c r="B152" s="127"/>
      <c r="C152" s="127"/>
      <c r="D152" s="127"/>
      <c r="E152" s="127"/>
      <c r="F152" s="127"/>
      <c r="G152" s="127"/>
      <c r="H152" s="193"/>
      <c r="I152" s="144"/>
      <c r="J152" s="111"/>
      <c r="K152" s="111"/>
      <c r="L152" s="163"/>
      <c r="M152" s="163"/>
      <c r="N152" s="112"/>
      <c r="O152" s="111"/>
      <c r="P152" s="163"/>
      <c r="Q152" s="112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</row>
    <row r="153">
      <c r="A153" s="197"/>
      <c r="B153" s="127"/>
      <c r="C153" s="127"/>
      <c r="D153" s="198"/>
      <c r="E153" s="127"/>
      <c r="F153" s="198"/>
      <c r="G153" s="127"/>
      <c r="H153" s="193"/>
      <c r="I153" s="144"/>
      <c r="J153" s="111"/>
      <c r="K153" s="111"/>
      <c r="L153" s="163"/>
      <c r="M153" s="163"/>
      <c r="N153" s="112"/>
      <c r="O153" s="111"/>
      <c r="P153" s="163"/>
      <c r="Q153" s="112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</row>
    <row r="154">
      <c r="A154" s="127"/>
      <c r="B154" s="127"/>
      <c r="C154" s="127"/>
      <c r="D154" s="198"/>
      <c r="E154" s="127"/>
      <c r="F154" s="198"/>
      <c r="G154" s="127"/>
      <c r="H154" s="193"/>
      <c r="I154" s="144"/>
      <c r="J154" s="111"/>
      <c r="K154" s="111"/>
      <c r="L154" s="163"/>
      <c r="M154" s="163"/>
      <c r="N154" s="112"/>
      <c r="O154" s="111"/>
      <c r="P154" s="163"/>
      <c r="Q154" s="112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</row>
    <row r="155">
      <c r="A155" s="127"/>
      <c r="B155" s="127"/>
      <c r="C155" s="127"/>
      <c r="D155" s="198"/>
      <c r="E155" s="127"/>
      <c r="F155" s="198"/>
      <c r="G155" s="127"/>
      <c r="H155" s="1"/>
      <c r="I155" s="144"/>
      <c r="J155" s="111"/>
      <c r="K155" s="111"/>
      <c r="L155" s="163"/>
      <c r="M155" s="163"/>
      <c r="N155" s="112"/>
      <c r="O155" s="111"/>
      <c r="P155" s="163"/>
      <c r="Q155" s="112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</row>
    <row r="156">
      <c r="A156" s="127"/>
      <c r="B156" s="127"/>
      <c r="C156" s="127"/>
      <c r="D156" s="198"/>
      <c r="E156" s="127"/>
      <c r="F156" s="198"/>
      <c r="G156" s="127"/>
      <c r="H156" s="193"/>
      <c r="I156" s="144"/>
      <c r="J156" s="111"/>
      <c r="K156" s="111"/>
      <c r="L156" s="163"/>
      <c r="M156" s="163"/>
      <c r="N156" s="112"/>
      <c r="O156" s="111"/>
      <c r="P156" s="163"/>
      <c r="Q156" s="112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</row>
    <row r="157">
      <c r="A157" s="127"/>
      <c r="B157" s="127"/>
      <c r="C157" s="127"/>
      <c r="D157" s="198"/>
      <c r="E157" s="127"/>
      <c r="F157" s="198"/>
      <c r="G157" s="127"/>
      <c r="H157" s="193"/>
      <c r="I157" s="144"/>
      <c r="J157" s="111"/>
      <c r="K157" s="111"/>
      <c r="L157" s="163"/>
      <c r="M157" s="163"/>
      <c r="N157" s="112"/>
      <c r="O157" s="111"/>
      <c r="P157" s="163"/>
      <c r="Q157" s="112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</row>
    <row r="158">
      <c r="A158" s="127"/>
      <c r="B158" s="127"/>
      <c r="C158" s="127"/>
      <c r="D158" s="127"/>
      <c r="E158" s="127"/>
      <c r="F158" s="127"/>
      <c r="G158" s="127"/>
      <c r="H158" s="193"/>
      <c r="I158" s="194"/>
      <c r="J158" s="196"/>
      <c r="K158" s="111"/>
      <c r="L158" s="199"/>
      <c r="M158" s="199"/>
      <c r="N158" s="195"/>
      <c r="O158" s="196"/>
      <c r="P158" s="32"/>
      <c r="Q158" s="195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</row>
    <row r="159">
      <c r="A159" s="127"/>
      <c r="B159" s="127"/>
      <c r="C159" s="127"/>
      <c r="D159" s="127"/>
      <c r="E159" s="127"/>
      <c r="F159" s="127"/>
      <c r="G159" s="127"/>
      <c r="H159" s="193"/>
      <c r="I159" s="144"/>
      <c r="J159" s="111"/>
      <c r="K159" s="111"/>
      <c r="L159" s="125"/>
      <c r="M159" s="163"/>
      <c r="N159" s="112"/>
      <c r="O159" s="111"/>
      <c r="P159" s="163"/>
      <c r="Q159" s="112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</row>
    <row r="160">
      <c r="A160" s="127"/>
      <c r="B160" s="127"/>
      <c r="C160" s="127"/>
      <c r="D160" s="127"/>
      <c r="E160" s="127"/>
      <c r="F160" s="127"/>
      <c r="G160" s="127"/>
      <c r="H160" s="193"/>
      <c r="I160" s="144"/>
      <c r="J160" s="111"/>
      <c r="K160" s="111"/>
      <c r="L160" s="163"/>
      <c r="M160" s="163"/>
      <c r="N160" s="112"/>
      <c r="O160" s="111"/>
      <c r="P160" s="163"/>
      <c r="Q160" s="112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</row>
    <row r="161">
      <c r="A161" s="127"/>
      <c r="B161" s="127"/>
      <c r="C161" s="127"/>
      <c r="D161" s="127"/>
      <c r="E161" s="127"/>
      <c r="F161" s="127"/>
      <c r="G161" s="127"/>
      <c r="H161" s="193"/>
      <c r="I161" s="144"/>
      <c r="J161" s="111"/>
      <c r="K161" s="111"/>
      <c r="L161" s="163"/>
      <c r="M161" s="163"/>
      <c r="N161" s="112"/>
      <c r="O161" s="111"/>
      <c r="P161" s="163"/>
      <c r="Q161" s="112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</row>
    <row r="162">
      <c r="A162" s="127"/>
      <c r="B162" s="127"/>
      <c r="C162" s="127"/>
      <c r="D162" s="127"/>
      <c r="E162" s="127"/>
      <c r="F162" s="127"/>
      <c r="G162" s="127"/>
      <c r="H162" s="193"/>
      <c r="I162" s="144"/>
      <c r="J162" s="111"/>
      <c r="K162" s="111"/>
      <c r="L162" s="163"/>
      <c r="M162" s="163"/>
      <c r="N162" s="112"/>
      <c r="O162" s="111"/>
      <c r="P162" s="163"/>
      <c r="Q162" s="112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</row>
    <row r="163">
      <c r="A163" s="127"/>
      <c r="B163" s="127"/>
      <c r="C163" s="127"/>
      <c r="D163" s="127"/>
      <c r="E163" s="127"/>
      <c r="F163" s="127"/>
      <c r="G163" s="127"/>
      <c r="H163" s="193"/>
      <c r="I163" s="144"/>
      <c r="J163" s="111"/>
      <c r="K163" s="111"/>
      <c r="L163" s="163"/>
      <c r="M163" s="163"/>
      <c r="N163" s="112"/>
      <c r="O163" s="111"/>
      <c r="P163" s="163"/>
      <c r="Q163" s="112"/>
      <c r="R163" s="127"/>
      <c r="S163" s="127" t="s">
        <v>238</v>
      </c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</row>
    <row r="164">
      <c r="A164" s="127"/>
      <c r="B164" s="127"/>
      <c r="C164" s="127"/>
      <c r="D164" s="127"/>
      <c r="E164" s="127"/>
      <c r="F164" s="127"/>
      <c r="G164" s="127"/>
      <c r="H164" s="193"/>
      <c r="I164" s="144"/>
      <c r="J164" s="111"/>
      <c r="K164" s="111"/>
      <c r="L164" s="163"/>
      <c r="M164" s="163"/>
      <c r="N164" s="112"/>
      <c r="O164" s="111"/>
      <c r="P164" s="163"/>
      <c r="Q164" s="112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</row>
    <row r="165">
      <c r="A165" s="127"/>
      <c r="B165" s="127"/>
      <c r="C165" s="127"/>
      <c r="D165" s="127"/>
      <c r="E165" s="127"/>
      <c r="F165" s="127"/>
      <c r="G165" s="127"/>
      <c r="H165" s="193"/>
      <c r="I165" s="144"/>
      <c r="J165" s="111"/>
      <c r="K165" s="111"/>
      <c r="L165" s="163"/>
      <c r="M165" s="163"/>
      <c r="N165" s="112"/>
      <c r="O165" s="111"/>
      <c r="P165" s="163"/>
      <c r="Q165" s="112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</row>
    <row r="166">
      <c r="A166" s="127"/>
      <c r="B166" s="127"/>
      <c r="C166" s="127"/>
      <c r="D166" s="127"/>
      <c r="E166" s="127"/>
      <c r="F166" s="127"/>
      <c r="G166" s="127"/>
      <c r="H166" s="193"/>
      <c r="I166" s="144"/>
      <c r="J166" s="111"/>
      <c r="K166" s="111"/>
      <c r="L166" s="163"/>
      <c r="M166" s="163"/>
      <c r="N166" s="112"/>
      <c r="O166" s="111"/>
      <c r="P166" s="163"/>
      <c r="Q166" s="112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</row>
    <row r="167">
      <c r="A167" s="127"/>
      <c r="B167" s="127"/>
      <c r="C167" s="127"/>
      <c r="D167" s="127"/>
      <c r="E167" s="127"/>
      <c r="F167" s="127"/>
      <c r="G167" s="127"/>
      <c r="H167" s="193"/>
      <c r="I167" s="144"/>
      <c r="J167" s="111"/>
      <c r="K167" s="111"/>
      <c r="L167" s="163"/>
      <c r="M167" s="163"/>
      <c r="N167" s="112"/>
      <c r="O167" s="111"/>
      <c r="P167" s="163"/>
      <c r="Q167" s="112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</row>
    <row r="168">
      <c r="A168" s="127"/>
      <c r="B168" s="127"/>
      <c r="C168" s="127"/>
      <c r="D168" s="127"/>
      <c r="E168" s="127"/>
      <c r="F168" s="127"/>
      <c r="G168" s="127"/>
      <c r="H168" s="193"/>
      <c r="I168" s="144"/>
      <c r="J168" s="111"/>
      <c r="K168" s="111"/>
      <c r="L168" s="163"/>
      <c r="M168" s="163"/>
      <c r="N168" s="112"/>
      <c r="O168" s="111"/>
      <c r="P168" s="163"/>
      <c r="Q168" s="112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</row>
    <row r="169">
      <c r="A169" s="127"/>
      <c r="B169" s="127"/>
      <c r="C169" s="127"/>
      <c r="D169" s="127"/>
      <c r="E169" s="127"/>
      <c r="F169" s="127"/>
      <c r="G169" s="127"/>
      <c r="H169" s="193"/>
      <c r="I169" s="194"/>
      <c r="J169" s="196"/>
      <c r="K169" s="196"/>
      <c r="L169" s="32"/>
      <c r="M169" s="32"/>
      <c r="N169" s="195"/>
      <c r="O169" s="196"/>
      <c r="P169" s="32"/>
      <c r="Q169" s="195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</row>
    <row r="170">
      <c r="A170" s="127"/>
      <c r="B170" s="127"/>
      <c r="C170" s="127"/>
      <c r="D170" s="127"/>
      <c r="E170" s="127"/>
      <c r="F170" s="127"/>
      <c r="G170" s="127"/>
      <c r="H170" s="193"/>
      <c r="I170" s="194"/>
      <c r="J170" s="196"/>
      <c r="K170" s="196"/>
      <c r="L170" s="32"/>
      <c r="M170" s="32"/>
      <c r="N170" s="195"/>
      <c r="O170" s="196"/>
      <c r="P170" s="32"/>
      <c r="Q170" s="195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>
      <c r="A171" s="127"/>
      <c r="B171" s="127"/>
      <c r="C171" s="127"/>
      <c r="D171" s="127"/>
      <c r="E171" s="127"/>
      <c r="F171" s="127"/>
      <c r="G171" s="127"/>
      <c r="H171" s="193"/>
      <c r="I171" s="144"/>
      <c r="J171" s="111"/>
      <c r="K171" s="111"/>
      <c r="L171" s="163"/>
      <c r="M171" s="163"/>
      <c r="N171" s="112"/>
      <c r="O171" s="111"/>
      <c r="P171" s="163"/>
      <c r="Q171" s="112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</row>
    <row r="172">
      <c r="A172" s="127"/>
      <c r="B172" s="127"/>
      <c r="C172" s="127"/>
      <c r="D172" s="127"/>
      <c r="E172" s="127"/>
      <c r="F172" s="127"/>
      <c r="G172" s="127"/>
      <c r="H172" s="193"/>
      <c r="I172" s="144"/>
      <c r="J172" s="111"/>
      <c r="K172" s="111"/>
      <c r="L172" s="163"/>
      <c r="M172" s="163"/>
      <c r="N172" s="112"/>
      <c r="O172" s="111"/>
      <c r="P172" s="163"/>
      <c r="Q172" s="112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</row>
    <row r="173">
      <c r="A173" s="127"/>
      <c r="B173" s="127"/>
      <c r="C173" s="127"/>
      <c r="D173" s="127"/>
      <c r="E173" s="127"/>
      <c r="F173" s="127"/>
      <c r="G173" s="127"/>
      <c r="H173" s="193"/>
      <c r="I173" s="144"/>
      <c r="J173" s="111"/>
      <c r="K173" s="111"/>
      <c r="L173" s="163"/>
      <c r="M173" s="163"/>
      <c r="N173" s="112"/>
      <c r="O173" s="111"/>
      <c r="P173" s="163"/>
      <c r="Q173" s="112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</row>
    <row r="174">
      <c r="A174" s="127"/>
      <c r="B174" s="127"/>
      <c r="C174" s="127"/>
      <c r="D174" s="127"/>
      <c r="E174" s="127"/>
      <c r="F174" s="127"/>
      <c r="G174" s="127"/>
      <c r="H174" s="1"/>
      <c r="I174" s="144"/>
      <c r="J174" s="111"/>
      <c r="K174" s="111"/>
      <c r="L174" s="163"/>
      <c r="M174" s="163"/>
      <c r="N174" s="112"/>
      <c r="O174" s="111"/>
      <c r="P174" s="163"/>
      <c r="Q174" s="112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</row>
    <row r="175">
      <c r="A175" s="127"/>
      <c r="B175" s="127"/>
      <c r="C175" s="127"/>
      <c r="D175" s="127"/>
      <c r="E175" s="127"/>
      <c r="F175" s="127"/>
      <c r="G175" s="127"/>
      <c r="H175" s="193"/>
      <c r="I175" s="144"/>
      <c r="J175" s="111"/>
      <c r="K175" s="111"/>
      <c r="L175" s="163"/>
      <c r="M175" s="163"/>
      <c r="N175" s="112"/>
      <c r="O175" s="111"/>
      <c r="P175" s="163"/>
      <c r="Q175" s="112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</row>
    <row r="176">
      <c r="A176" s="127"/>
      <c r="B176" s="127"/>
      <c r="C176" s="127"/>
      <c r="D176" s="127"/>
      <c r="E176" s="127"/>
      <c r="F176" s="127"/>
      <c r="G176" s="127"/>
      <c r="H176" s="193"/>
      <c r="I176" s="144"/>
      <c r="J176" s="111"/>
      <c r="K176" s="111"/>
      <c r="L176" s="163"/>
      <c r="M176" s="163"/>
      <c r="N176" s="112"/>
      <c r="O176" s="111"/>
      <c r="P176" s="163"/>
      <c r="Q176" s="112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</row>
    <row r="177">
      <c r="A177" s="127"/>
      <c r="B177" s="127"/>
      <c r="C177" s="127"/>
      <c r="D177" s="127"/>
      <c r="E177" s="127"/>
      <c r="F177" s="127"/>
      <c r="G177" s="127"/>
      <c r="H177" s="193"/>
      <c r="I177" s="194"/>
      <c r="J177" s="196"/>
      <c r="K177" s="196"/>
      <c r="L177" s="32"/>
      <c r="M177" s="32"/>
      <c r="N177" s="195"/>
      <c r="O177" s="196"/>
      <c r="P177" s="199"/>
      <c r="Q177" s="195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</row>
    <row r="178">
      <c r="A178" s="127"/>
      <c r="B178" s="127"/>
      <c r="C178" s="127"/>
      <c r="D178" s="127"/>
      <c r="E178" s="127"/>
      <c r="F178" s="127"/>
      <c r="G178" s="127"/>
      <c r="H178" s="193"/>
      <c r="I178" s="194"/>
      <c r="J178" s="196"/>
      <c r="K178" s="196"/>
      <c r="L178" s="32"/>
      <c r="M178" s="32"/>
      <c r="N178" s="195"/>
      <c r="O178" s="196"/>
      <c r="P178" s="32"/>
      <c r="Q178" s="195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</row>
    <row r="179">
      <c r="A179" s="127"/>
      <c r="B179" s="127"/>
      <c r="C179" s="127"/>
      <c r="D179" s="127"/>
      <c r="E179" s="127"/>
      <c r="F179" s="127"/>
      <c r="G179" s="127"/>
      <c r="H179" s="193"/>
      <c r="I179" s="194"/>
      <c r="J179" s="196"/>
      <c r="K179" s="196"/>
      <c r="L179" s="32"/>
      <c r="M179" s="32"/>
      <c r="N179" s="195"/>
      <c r="O179" s="196"/>
      <c r="P179" s="32"/>
      <c r="Q179" s="195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</row>
    <row r="180">
      <c r="A180" s="127"/>
      <c r="B180" s="127"/>
      <c r="C180" s="127"/>
      <c r="D180" s="127"/>
      <c r="E180" s="127"/>
      <c r="F180" s="127"/>
      <c r="G180" s="127"/>
      <c r="H180" s="193"/>
      <c r="I180" s="194"/>
      <c r="J180" s="196"/>
      <c r="K180" s="196"/>
      <c r="L180" s="32"/>
      <c r="M180" s="32"/>
      <c r="N180" s="195"/>
      <c r="O180" s="196"/>
      <c r="P180" s="32"/>
      <c r="Q180" s="195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</row>
    <row r="181">
      <c r="A181" s="127"/>
      <c r="B181" s="127"/>
      <c r="C181" s="127"/>
      <c r="D181" s="127"/>
      <c r="E181" s="127"/>
      <c r="F181" s="127"/>
      <c r="G181" s="127"/>
      <c r="H181" s="193"/>
      <c r="I181" s="144"/>
      <c r="J181" s="144"/>
      <c r="K181" s="144"/>
      <c r="L181" s="163"/>
      <c r="M181" s="163"/>
      <c r="N181" s="163"/>
      <c r="O181" s="144"/>
      <c r="P181" s="163"/>
      <c r="Q181" s="163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</row>
    <row r="182">
      <c r="A182" s="127"/>
      <c r="B182" s="127"/>
      <c r="C182" s="127"/>
      <c r="D182" s="127"/>
      <c r="E182" s="127"/>
      <c r="F182" s="127"/>
      <c r="G182" s="127"/>
      <c r="H182" s="193"/>
      <c r="I182" s="144"/>
      <c r="J182" s="144"/>
      <c r="K182" s="144"/>
      <c r="L182" s="163"/>
      <c r="M182" s="163"/>
      <c r="N182" s="163"/>
      <c r="O182" s="144"/>
      <c r="P182" s="163"/>
      <c r="Q182" s="163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</row>
    <row r="183">
      <c r="A183" s="127"/>
      <c r="B183" s="127"/>
      <c r="C183" s="127"/>
      <c r="D183" s="127"/>
      <c r="E183" s="127"/>
      <c r="F183" s="127"/>
      <c r="G183" s="127"/>
      <c r="H183" s="193"/>
      <c r="I183" s="144"/>
      <c r="J183" s="144"/>
      <c r="K183" s="144"/>
      <c r="L183" s="163"/>
      <c r="M183" s="163"/>
      <c r="N183" s="163"/>
      <c r="O183" s="144"/>
      <c r="P183" s="163"/>
      <c r="Q183" s="163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</row>
    <row r="184">
      <c r="A184" s="127"/>
      <c r="B184" s="127"/>
      <c r="C184" s="127"/>
      <c r="D184" s="127"/>
      <c r="E184" s="127"/>
      <c r="F184" s="127"/>
      <c r="G184" s="127"/>
      <c r="H184" s="193"/>
      <c r="I184" s="144"/>
      <c r="J184" s="144"/>
      <c r="K184" s="144"/>
      <c r="L184" s="163"/>
      <c r="M184" s="163"/>
      <c r="N184" s="163"/>
      <c r="O184" s="144"/>
      <c r="P184" s="163"/>
      <c r="Q184" s="163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</row>
    <row r="185">
      <c r="A185" s="127"/>
      <c r="B185" s="127"/>
      <c r="C185" s="127"/>
      <c r="D185" s="127"/>
      <c r="E185" s="127"/>
      <c r="F185" s="127"/>
      <c r="G185" s="127"/>
      <c r="H185" s="193"/>
      <c r="I185" s="144"/>
      <c r="J185" s="144"/>
      <c r="K185" s="144"/>
      <c r="L185" s="163"/>
      <c r="M185" s="163"/>
      <c r="N185" s="163"/>
      <c r="O185" s="144"/>
      <c r="P185" s="163"/>
      <c r="Q185" s="163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</row>
    <row r="186">
      <c r="A186" s="127"/>
      <c r="B186" s="127"/>
      <c r="C186" s="127"/>
      <c r="D186" s="127"/>
      <c r="E186" s="127"/>
      <c r="F186" s="127"/>
      <c r="G186" s="127"/>
      <c r="H186" s="193"/>
      <c r="I186" s="144"/>
      <c r="J186" s="144"/>
      <c r="K186" s="144"/>
      <c r="L186" s="163"/>
      <c r="M186" s="163"/>
      <c r="N186" s="163"/>
      <c r="O186" s="144"/>
      <c r="P186" s="163"/>
      <c r="Q186" s="163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</row>
    <row r="187">
      <c r="A187" s="127"/>
      <c r="B187" s="127"/>
      <c r="C187" s="127"/>
      <c r="D187" s="127"/>
      <c r="E187" s="127"/>
      <c r="F187" s="127"/>
      <c r="G187" s="127"/>
      <c r="H187" s="193"/>
      <c r="I187" s="144"/>
      <c r="J187" s="144"/>
      <c r="K187" s="144"/>
      <c r="L187" s="163"/>
      <c r="M187" s="163"/>
      <c r="N187" s="163"/>
      <c r="O187" s="144"/>
      <c r="P187" s="163"/>
      <c r="Q187" s="163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</row>
    <row r="188">
      <c r="A188" s="127"/>
      <c r="B188" s="127"/>
      <c r="C188" s="127"/>
      <c r="D188" s="127"/>
      <c r="E188" s="127"/>
      <c r="F188" s="127"/>
      <c r="G188" s="127"/>
      <c r="H188" s="1"/>
      <c r="I188" s="144"/>
      <c r="J188" s="144"/>
      <c r="K188" s="144"/>
      <c r="L188" s="163"/>
      <c r="M188" s="163"/>
      <c r="N188" s="163"/>
      <c r="O188" s="144"/>
      <c r="P188" s="163"/>
      <c r="Q188" s="163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</row>
    <row r="189">
      <c r="A189" s="127"/>
      <c r="B189" s="127"/>
      <c r="C189" s="127"/>
      <c r="D189" s="127"/>
      <c r="E189" s="127"/>
      <c r="F189" s="127"/>
      <c r="G189" s="127"/>
      <c r="H189" s="1"/>
      <c r="I189" s="144"/>
      <c r="J189" s="144"/>
      <c r="K189" s="144"/>
      <c r="L189" s="163"/>
      <c r="M189" s="163"/>
      <c r="N189" s="163"/>
      <c r="O189" s="144"/>
      <c r="P189" s="163"/>
      <c r="Q189" s="163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</row>
    <row r="190">
      <c r="A190" s="127"/>
      <c r="B190" s="127"/>
      <c r="C190" s="127"/>
      <c r="D190" s="127"/>
      <c r="E190" s="127"/>
      <c r="F190" s="127"/>
      <c r="G190" s="127"/>
      <c r="H190" s="188" t="s">
        <v>97</v>
      </c>
      <c r="I190" s="126"/>
      <c r="J190" s="126"/>
      <c r="K190" s="126"/>
      <c r="L190" s="126"/>
      <c r="M190" s="126"/>
      <c r="N190" s="126"/>
      <c r="O190" s="126"/>
      <c r="P190" s="126"/>
      <c r="Q190" s="189">
        <f>SUM(Q132:Q189)</f>
        <v>100850</v>
      </c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</row>
  </sheetData>
  <hyperlinks>
    <hyperlink r:id="rId1" ref="B145"/>
    <hyperlink r:id="rId2" ref="B146"/>
    <hyperlink r:id="rId3" ref="B147"/>
    <hyperlink r:id="rId4" ref="B148"/>
  </hyperlinks>
  <drawing r:id="rId5"/>
</worksheet>
</file>