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ortfolio Holdings Q1 2025" sheetId="1" r:id="rId3"/>
  </sheets>
  <definedNames/>
  <calcPr/>
</workbook>
</file>

<file path=xl/sharedStrings.xml><?xml version="1.0" encoding="utf-8"?>
<sst xmlns="http://schemas.openxmlformats.org/spreadsheetml/2006/main" count="457" uniqueCount="214">
  <si>
    <t>AWP Stocks/ETFs (non-GSM)</t>
  </si>
  <si>
    <t>Diverse Technology</t>
  </si>
  <si>
    <t>% of portfolio assets</t>
  </si>
  <si>
    <t>Company</t>
  </si>
  <si>
    <t>Ticker</t>
  </si>
  <si>
    <t>TT Score</t>
  </si>
  <si>
    <t>Shares</t>
  </si>
  <si>
    <t>Starting position + adds</t>
  </si>
  <si>
    <t>Current position + adds/sales</t>
  </si>
  <si>
    <t xml:space="preserve">Price at start/add </t>
  </si>
  <si>
    <t>Day Chng %</t>
  </si>
  <si>
    <t>Current price</t>
  </si>
  <si>
    <t>Sale price/strike price</t>
  </si>
  <si>
    <t>Price change</t>
  </si>
  <si>
    <t xml:space="preserve">% Gain/loss </t>
  </si>
  <si>
    <t>Gain/Loss</t>
  </si>
  <si>
    <t>Div Yield</t>
  </si>
  <si>
    <t>Div Income</t>
  </si>
  <si>
    <t>Active CCD Info</t>
  </si>
  <si>
    <t>CCD Income</t>
  </si>
  <si>
    <t>Active collar/put info</t>
  </si>
  <si>
    <t>Sales in quarter</t>
  </si>
  <si>
    <t>Sell date</t>
  </si>
  <si>
    <t xml:space="preserve">Sale price </t>
  </si>
  <si>
    <t xml:space="preserve">Position size </t>
  </si>
  <si>
    <t>Adds in quarter</t>
  </si>
  <si>
    <t>Date added</t>
  </si>
  <si>
    <t>Buy in price</t>
  </si>
  <si>
    <t>Position size</t>
  </si>
  <si>
    <t>% of total assets</t>
  </si>
  <si>
    <t xml:space="preserve">Google </t>
  </si>
  <si>
    <t>GOOG</t>
  </si>
  <si>
    <t xml:space="preserve">Baidu </t>
  </si>
  <si>
    <t xml:space="preserve">BIDU </t>
  </si>
  <si>
    <t>Tesla *</t>
  </si>
  <si>
    <t>TSLA</t>
  </si>
  <si>
    <t>AMD *</t>
  </si>
  <si>
    <t>AMD</t>
  </si>
  <si>
    <t xml:space="preserve">AMD </t>
  </si>
  <si>
    <t>Amazon *</t>
  </si>
  <si>
    <t>AMZN</t>
  </si>
  <si>
    <t>Palantir *</t>
  </si>
  <si>
    <t>PLTR</t>
  </si>
  <si>
    <t xml:space="preserve">Palantir </t>
  </si>
  <si>
    <t>100% - 2/21/25, $80SP, $5.40P</t>
  </si>
  <si>
    <t>Nvidia *</t>
  </si>
  <si>
    <t xml:space="preserve">NVDA </t>
  </si>
  <si>
    <t xml:space="preserve">Nvidia </t>
  </si>
  <si>
    <t>NVDA</t>
  </si>
  <si>
    <t xml:space="preserve">Meta Platforms </t>
  </si>
  <si>
    <t>META</t>
  </si>
  <si>
    <t>Dell *</t>
  </si>
  <si>
    <t>DELL</t>
  </si>
  <si>
    <t xml:space="preserve">Dell </t>
  </si>
  <si>
    <t>Salesforce *</t>
  </si>
  <si>
    <t>CRM</t>
  </si>
  <si>
    <t>Zscaler</t>
  </si>
  <si>
    <t>ZS</t>
  </si>
  <si>
    <t>OKTA</t>
  </si>
  <si>
    <t>Qualcomm *</t>
  </si>
  <si>
    <t>QCOM</t>
  </si>
  <si>
    <t>ASML Holdings</t>
  </si>
  <si>
    <t>ASML</t>
  </si>
  <si>
    <t>SentinelOne</t>
  </si>
  <si>
    <t>S</t>
  </si>
  <si>
    <t xml:space="preserve">Snap Inc. </t>
  </si>
  <si>
    <t>SNAP</t>
  </si>
  <si>
    <t>Total</t>
  </si>
  <si>
    <t>Oil</t>
  </si>
  <si>
    <t>Collar play/put</t>
  </si>
  <si>
    <t>Devon</t>
  </si>
  <si>
    <t>DVN</t>
  </si>
  <si>
    <t>Schlumberger</t>
  </si>
  <si>
    <t>SLB</t>
  </si>
  <si>
    <t>Hess Corp.</t>
  </si>
  <si>
    <t>HES</t>
  </si>
  <si>
    <t>Biotech/Pharma</t>
  </si>
  <si>
    <t>Regeneron</t>
  </si>
  <si>
    <t>REGN</t>
  </si>
  <si>
    <t xml:space="preserve">Amgen </t>
  </si>
  <si>
    <t>AMGN</t>
  </si>
  <si>
    <t>Pfizer</t>
  </si>
  <si>
    <t>PFE</t>
  </si>
  <si>
    <t xml:space="preserve">UnitedHealth </t>
  </si>
  <si>
    <t>UNH</t>
  </si>
  <si>
    <t xml:space="preserve">Total </t>
  </si>
  <si>
    <t xml:space="preserve">Defense </t>
  </si>
  <si>
    <t xml:space="preserve">General Dynamics </t>
  </si>
  <si>
    <t>GD</t>
  </si>
  <si>
    <t>Lockheed Martin</t>
  </si>
  <si>
    <t>LMT</t>
  </si>
  <si>
    <t xml:space="preserve">Northrop Grumman </t>
  </si>
  <si>
    <t>NOC</t>
  </si>
  <si>
    <t xml:space="preserve">L3 Harris </t>
  </si>
  <si>
    <t>LHX</t>
  </si>
  <si>
    <t xml:space="preserve">Industrials/Materials </t>
  </si>
  <si>
    <t xml:space="preserve">Mosaic </t>
  </si>
  <si>
    <t>MOS</t>
  </si>
  <si>
    <t xml:space="preserve">Intrepid Potash </t>
  </si>
  <si>
    <t>IPI</t>
  </si>
  <si>
    <t>Cameco *</t>
  </si>
  <si>
    <t>CCJ</t>
  </si>
  <si>
    <t xml:space="preserve">Oklo </t>
  </si>
  <si>
    <t>OKLO</t>
  </si>
  <si>
    <t>100% - 2/21/25, $35SP, $2.44P</t>
  </si>
  <si>
    <t xml:space="preserve">Constellation </t>
  </si>
  <si>
    <t>CEG</t>
  </si>
  <si>
    <t xml:space="preserve">Lithium Americas </t>
  </si>
  <si>
    <t>LAC</t>
  </si>
  <si>
    <t xml:space="preserve">Albemarle </t>
  </si>
  <si>
    <t>ALB</t>
  </si>
  <si>
    <t>GSMs (gold, silver, miners)</t>
  </si>
  <si>
    <t>Company/Asset</t>
  </si>
  <si>
    <t>Physical Gold</t>
  </si>
  <si>
    <t>Gold</t>
  </si>
  <si>
    <t>Total physical GSM</t>
  </si>
  <si>
    <t>Physical Silver</t>
  </si>
  <si>
    <t>Silver</t>
  </si>
  <si>
    <t xml:space="preserve">Physical GSM % of portfolio </t>
  </si>
  <si>
    <t xml:space="preserve">Gold miner ETF </t>
  </si>
  <si>
    <t>GDX</t>
  </si>
  <si>
    <t>Total non-physical GSM</t>
  </si>
  <si>
    <t>Junior Gold miner ETF</t>
  </si>
  <si>
    <t>GDXJ</t>
  </si>
  <si>
    <t>Non-physical GSM %</t>
  </si>
  <si>
    <t>Agnico Eagle Mines *</t>
  </si>
  <si>
    <t>AEM</t>
  </si>
  <si>
    <t>Newmont *</t>
  </si>
  <si>
    <t>NEM</t>
  </si>
  <si>
    <t xml:space="preserve">Newmont </t>
  </si>
  <si>
    <t xml:space="preserve">Barrick Gold </t>
  </si>
  <si>
    <t>GOLD</t>
  </si>
  <si>
    <t xml:space="preserve">Pan American Silver </t>
  </si>
  <si>
    <t>PAAS</t>
  </si>
  <si>
    <t xml:space="preserve">Hecla Mining </t>
  </si>
  <si>
    <t>HL</t>
  </si>
  <si>
    <t>B2Gold</t>
  </si>
  <si>
    <t>BTG</t>
  </si>
  <si>
    <t>Gold/silver mining ETF</t>
  </si>
  <si>
    <t>SLVP</t>
  </si>
  <si>
    <t xml:space="preserve">Digital Asset Basket </t>
  </si>
  <si>
    <t>Coin</t>
  </si>
  <si>
    <t>Coin/stock</t>
  </si>
  <si>
    <t>N/A</t>
  </si>
  <si>
    <t xml:space="preserve">Bitcoin </t>
  </si>
  <si>
    <t>BTCUSD</t>
  </si>
  <si>
    <t xml:space="preserve">Bitcoin Cash </t>
  </si>
  <si>
    <t>BCHUSD</t>
  </si>
  <si>
    <t>BCH</t>
  </si>
  <si>
    <t xml:space="preserve">Polkadot </t>
  </si>
  <si>
    <t>DOTUSD</t>
  </si>
  <si>
    <t>DOT</t>
  </si>
  <si>
    <t xml:space="preserve">Ethereum </t>
  </si>
  <si>
    <t>ETHUSD</t>
  </si>
  <si>
    <t xml:space="preserve">Total Assets </t>
  </si>
  <si>
    <t>Position %</t>
  </si>
  <si>
    <t>Starting position w adds</t>
  </si>
  <si>
    <t xml:space="preserve">Starting position </t>
  </si>
  <si>
    <t>Current position w adds/sales</t>
  </si>
  <si>
    <t xml:space="preserve">Gain/loss </t>
  </si>
  <si>
    <t>Covered call dividends/CCD</t>
  </si>
  <si>
    <t>Dividends/D</t>
  </si>
  <si>
    <t>Collar/Put options</t>
  </si>
  <si>
    <t>Stock/ETF gain w/CCD/D/P</t>
  </si>
  <si>
    <t xml:space="preserve">Diversified Tech Segment </t>
  </si>
  <si>
    <t>"Other" Stock Segments</t>
  </si>
  <si>
    <t>Gold/Silver/Miners (GSMs)</t>
  </si>
  <si>
    <t>Cryptocurrency Basket</t>
  </si>
  <si>
    <t>Cash/Money Market</t>
  </si>
  <si>
    <t>AWP at the start of 2025</t>
  </si>
  <si>
    <t xml:space="preserve">AWP Current Total </t>
  </si>
  <si>
    <t xml:space="preserve">YTD Profit/Loss </t>
  </si>
  <si>
    <t>2025 YTD Return</t>
  </si>
  <si>
    <t xml:space="preserve">Total   </t>
  </si>
  <si>
    <t>Core positions are marked with an *</t>
  </si>
  <si>
    <t xml:space="preserve">Major Averages </t>
  </si>
  <si>
    <t>Start Q1 2025</t>
  </si>
  <si>
    <t xml:space="preserve">Current </t>
  </si>
  <si>
    <t>QTD Gain/Loss</t>
  </si>
  <si>
    <t>Change QTD</t>
  </si>
  <si>
    <t>CCD Table - Shares</t>
  </si>
  <si>
    <t>Stock</t>
  </si>
  <si>
    <t>CCD date</t>
  </si>
  <si>
    <t>Expiration date</t>
  </si>
  <si>
    <t>Strike price</t>
  </si>
  <si>
    <t>Option premium</t>
  </si>
  <si>
    <t>Total premium</t>
  </si>
  <si>
    <t>Close date</t>
  </si>
  <si>
    <t>Close premium</t>
  </si>
  <si>
    <t>Profit/loss</t>
  </si>
  <si>
    <t>Collar/Put Table</t>
  </si>
  <si>
    <t>Collar/Put date</t>
  </si>
  <si>
    <t xml:space="preserve">Dow Jones </t>
  </si>
  <si>
    <t>.DJI</t>
  </si>
  <si>
    <t>S&amp;P 500</t>
  </si>
  <si>
    <t>.INX</t>
  </si>
  <si>
    <t>Nasdaq</t>
  </si>
  <si>
    <t>.IXIC</t>
  </si>
  <si>
    <t>Russell 2000</t>
  </si>
  <si>
    <t>RUT</t>
  </si>
  <si>
    <t>NYSE Composite</t>
  </si>
  <si>
    <t>NYA</t>
  </si>
  <si>
    <t>Start 2025</t>
  </si>
  <si>
    <t>YTD Gain/Loss</t>
  </si>
  <si>
    <t>Change YTD</t>
  </si>
  <si>
    <t xml:space="preserve">The All-Weather Portfolio </t>
  </si>
  <si>
    <t>https://rc.seekingalpha.com/group/All-Weather-Portfolio-Updates</t>
  </si>
  <si>
    <t>The Financial Prophet</t>
  </si>
  <si>
    <t>https://rc.seekingalpha.com/group/the-financial-prophet</t>
  </si>
  <si>
    <t>Ask The Prophet</t>
  </si>
  <si>
    <t>https://rc.seekingalpha.com/group/Ask-The-Prophet</t>
  </si>
  <si>
    <t xml:space="preserve">The Prophet's ETF Portfolio </t>
  </si>
  <si>
    <t>https://seekingalpha.com/mp/1129-the-financial-prophet/articles/5986827-the-all-weather-etf-portfolio-embedded</t>
  </si>
  <si>
    <t xml:space="preserve">              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</si>
</sst>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&quot;$&quot;#,##0.00"/>
    <numFmt numFmtId="165" formatCode="&quot;$&quot;#,##0"/>
    <numFmt numFmtId="166" formatCode="[Green]▲ 0.00;[Red]▼ -0.00"/>
    <numFmt numFmtId="167" formatCode="[Green]▲ 0.00%;[Red]▼ -0.00%"/>
    <numFmt numFmtId="168" formatCode="m/d/yy"/>
  </numFmts>
  <fonts count="13">
    <font>
      <sz val="10.0"/>
      <color rgb="FF000000"/>
      <name val="Arial"/>
    </font>
    <font>
      <name val="Arial"/>
    </font>
    <font>
      <b/>
      <name val="Arial"/>
    </font>
    <font>
      <b/>
      <color rgb="FF000000"/>
      <name val="Arial"/>
    </font>
    <font>
      <color rgb="FF000000"/>
      <name val="Arial"/>
    </font>
    <font>
      <color rgb="FFFF0000"/>
      <name val="Arial"/>
    </font>
    <font>
      <b/>
      <color rgb="FF222222"/>
      <name val="Arial"/>
    </font>
    <font>
      <color rgb="FF222222"/>
      <name val="Arial"/>
    </font>
    <font>
      <color rgb="FF00FF00"/>
      <name val="Arial"/>
    </font>
    <font>
      <b/>
      <color rgb="FF1F1F1F"/>
      <name val="Google Sans"/>
    </font>
    <font>
      <sz val="10.0"/>
      <name val="Arial"/>
    </font>
    <font>
      <b/>
      <sz val="11.0"/>
      <name val="Arial"/>
    </font>
    <font>
      <u/>
      <color rgb="FF1155CC"/>
      <name val="Arial"/>
    </font>
  </fonts>
  <fills count="7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93C47D"/>
        <bgColor rgb="FF93C47D"/>
      </patternFill>
    </fill>
    <fill>
      <patternFill patternType="solid">
        <fgColor rgb="FF434343"/>
        <bgColor rgb="FF434343"/>
      </patternFill>
    </fill>
    <fill>
      <patternFill patternType="solid">
        <fgColor rgb="FFFFFFFF"/>
        <bgColor rgb="FFFFFFFF"/>
      </patternFill>
    </fill>
    <fill>
      <patternFill patternType="solid">
        <fgColor rgb="FFB6D7A8"/>
        <bgColor rgb="FFB6D7A8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</border>
    <border>
      <bottom style="thin">
        <color rgb="FF000000"/>
      </bottom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19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vertical="bottom"/>
    </xf>
    <xf borderId="2" fillId="2" fontId="1" numFmtId="0" xfId="0" applyAlignment="1" applyBorder="1" applyFont="1">
      <alignment vertical="bottom"/>
    </xf>
    <xf borderId="3" fillId="3" fontId="2" numFmtId="0" xfId="0" applyAlignment="1" applyBorder="1" applyFill="1" applyFont="1">
      <alignment vertical="bottom"/>
    </xf>
    <xf borderId="4" fillId="3" fontId="2" numFmtId="0" xfId="0" applyAlignment="1" applyBorder="1" applyFont="1">
      <alignment vertical="bottom"/>
    </xf>
    <xf borderId="4" fillId="3" fontId="3" numFmtId="164" xfId="0" applyAlignment="1" applyBorder="1" applyFont="1" applyNumberFormat="1">
      <alignment vertical="bottom"/>
    </xf>
    <xf borderId="4" fillId="3" fontId="3" numFmtId="164" xfId="0" applyAlignment="1" applyBorder="1" applyFont="1" applyNumberFormat="1">
      <alignment vertical="bottom"/>
    </xf>
    <xf borderId="4" fillId="3" fontId="3" numFmtId="0" xfId="0" applyAlignment="1" applyBorder="1" applyFont="1">
      <alignment vertical="bottom"/>
    </xf>
    <xf borderId="4" fillId="3" fontId="2" numFmtId="165" xfId="0" applyAlignment="1" applyBorder="1" applyFont="1" applyNumberFormat="1">
      <alignment vertical="bottom"/>
    </xf>
    <xf borderId="4" fillId="3" fontId="2" numFmtId="164" xfId="0" applyAlignment="1" applyBorder="1" applyFont="1" applyNumberFormat="1">
      <alignment vertical="bottom"/>
    </xf>
    <xf borderId="1" fillId="3" fontId="2" numFmtId="0" xfId="0" applyAlignment="1" applyBorder="1" applyFont="1">
      <alignment vertical="bottom"/>
    </xf>
    <xf borderId="4" fillId="0" fontId="1" numFmtId="10" xfId="0" applyAlignment="1" applyBorder="1" applyFont="1" applyNumberFormat="1">
      <alignment horizontal="right" vertical="bottom"/>
    </xf>
    <xf borderId="4" fillId="0" fontId="2" numFmtId="0" xfId="0" applyAlignment="1" applyBorder="1" applyFont="1">
      <alignment vertical="bottom"/>
    </xf>
    <xf borderId="4" fillId="0" fontId="2" numFmtId="0" xfId="0" applyAlignment="1" applyBorder="1" applyFont="1">
      <alignment horizontal="right" vertical="bottom"/>
    </xf>
    <xf borderId="4" fillId="0" fontId="1" numFmtId="3" xfId="0" applyAlignment="1" applyBorder="1" applyFont="1" applyNumberFormat="1">
      <alignment horizontal="right" vertical="bottom"/>
    </xf>
    <xf borderId="4" fillId="0" fontId="1" numFmtId="165" xfId="0" applyAlignment="1" applyBorder="1" applyFont="1" applyNumberFormat="1">
      <alignment horizontal="right" vertical="bottom"/>
    </xf>
    <xf borderId="4" fillId="0" fontId="1" numFmtId="164" xfId="0" applyAlignment="1" applyBorder="1" applyFont="1" applyNumberFormat="1">
      <alignment horizontal="right" readingOrder="0" vertical="bottom"/>
    </xf>
    <xf borderId="4" fillId="4" fontId="1" numFmtId="166" xfId="0" applyAlignment="1" applyBorder="1" applyFill="1" applyFont="1" applyNumberFormat="1">
      <alignment horizontal="right" vertical="bottom"/>
    </xf>
    <xf borderId="4" fillId="0" fontId="4" numFmtId="164" xfId="0" applyAlignment="1" applyBorder="1" applyFont="1" applyNumberFormat="1">
      <alignment horizontal="right" vertical="bottom"/>
    </xf>
    <xf borderId="4" fillId="0" fontId="1" numFmtId="164" xfId="0" applyAlignment="1" applyBorder="1" applyFont="1" applyNumberFormat="1">
      <alignment vertical="bottom"/>
    </xf>
    <xf borderId="4" fillId="0" fontId="1" numFmtId="164" xfId="0" applyAlignment="1" applyBorder="1" applyFont="1" applyNumberFormat="1">
      <alignment horizontal="right" vertical="bottom"/>
    </xf>
    <xf borderId="4" fillId="4" fontId="1" numFmtId="167" xfId="0" applyAlignment="1" applyBorder="1" applyFont="1" applyNumberFormat="1">
      <alignment horizontal="right" vertical="bottom"/>
    </xf>
    <xf borderId="4" fillId="5" fontId="1" numFmtId="164" xfId="0" applyAlignment="1" applyBorder="1" applyFill="1" applyFont="1" applyNumberFormat="1">
      <alignment vertical="bottom"/>
    </xf>
    <xf borderId="4" fillId="0" fontId="1" numFmtId="165" xfId="0" applyAlignment="1" applyBorder="1" applyFont="1" applyNumberFormat="1">
      <alignment vertical="bottom"/>
    </xf>
    <xf borderId="4" fillId="0" fontId="1" numFmtId="0" xfId="0" applyAlignment="1" applyBorder="1" applyFont="1">
      <alignment vertical="bottom"/>
    </xf>
    <xf borderId="4" fillId="0" fontId="1" numFmtId="168" xfId="0" applyAlignment="1" applyBorder="1" applyFont="1" applyNumberFormat="1">
      <alignment vertical="bottom"/>
    </xf>
    <xf borderId="4" fillId="0" fontId="2" numFmtId="0" xfId="0" applyAlignment="1" applyBorder="1" applyFont="1">
      <alignment vertical="bottom"/>
    </xf>
    <xf borderId="1" fillId="2" fontId="3" numFmtId="10" xfId="0" applyAlignment="1" applyBorder="1" applyFont="1" applyNumberFormat="1">
      <alignment horizontal="right" vertical="bottom"/>
    </xf>
    <xf borderId="4" fillId="0" fontId="1" numFmtId="10" xfId="0" applyAlignment="1" applyBorder="1" applyFont="1" applyNumberFormat="1">
      <alignment vertical="bottom"/>
    </xf>
    <xf borderId="1" fillId="5" fontId="1" numFmtId="164" xfId="0" applyAlignment="1" applyBorder="1" applyFont="1" applyNumberFormat="1">
      <alignment vertical="bottom"/>
    </xf>
    <xf borderId="3" fillId="0" fontId="1" numFmtId="0" xfId="0" applyAlignment="1" applyBorder="1" applyFont="1">
      <alignment vertical="bottom"/>
    </xf>
    <xf borderId="4" fillId="0" fontId="2" numFmtId="0" xfId="0" applyAlignment="1" applyBorder="1" applyFont="1">
      <alignment horizontal="right" readingOrder="0" vertical="bottom"/>
    </xf>
    <xf borderId="4" fillId="0" fontId="1" numFmtId="3" xfId="0" applyAlignment="1" applyBorder="1" applyFont="1" applyNumberFormat="1">
      <alignment horizontal="right" readingOrder="0" vertical="bottom"/>
    </xf>
    <xf borderId="4" fillId="5" fontId="1" numFmtId="164" xfId="0" applyAlignment="1" applyBorder="1" applyFont="1" applyNumberFormat="1">
      <alignment readingOrder="0" vertical="bottom"/>
    </xf>
    <xf borderId="4" fillId="0" fontId="1" numFmtId="165" xfId="0" applyAlignment="1" applyBorder="1" applyFont="1" applyNumberFormat="1">
      <alignment horizontal="right" readingOrder="0" vertical="bottom"/>
    </xf>
    <xf borderId="4" fillId="5" fontId="2" numFmtId="0" xfId="0" applyAlignment="1" applyBorder="1" applyFont="1">
      <alignment vertical="bottom"/>
    </xf>
    <xf borderId="4" fillId="5" fontId="2" numFmtId="0" xfId="0" applyAlignment="1" applyBorder="1" applyFont="1">
      <alignment horizontal="right" readingOrder="0" vertical="bottom"/>
    </xf>
    <xf borderId="4" fillId="5" fontId="2" numFmtId="0" xfId="0" applyAlignment="1" applyBorder="1" applyFont="1">
      <alignment vertical="bottom"/>
    </xf>
    <xf borderId="4" fillId="5" fontId="2" numFmtId="0" xfId="0" applyAlignment="1" applyBorder="1" applyFont="1">
      <alignment readingOrder="0" vertical="bottom"/>
    </xf>
    <xf borderId="4" fillId="5" fontId="2" numFmtId="0" xfId="0" applyAlignment="1" applyBorder="1" applyFont="1">
      <alignment readingOrder="0" vertical="bottom"/>
    </xf>
    <xf borderId="4" fillId="0" fontId="1" numFmtId="168" xfId="0" applyAlignment="1" applyBorder="1" applyFont="1" applyNumberFormat="1">
      <alignment readingOrder="0" vertical="bottom"/>
    </xf>
    <xf borderId="4" fillId="0" fontId="1" numFmtId="164" xfId="0" applyAlignment="1" applyBorder="1" applyFont="1" applyNumberFormat="1">
      <alignment readingOrder="0" vertical="bottom"/>
    </xf>
    <xf borderId="4" fillId="0" fontId="1" numFmtId="165" xfId="0" applyAlignment="1" applyBorder="1" applyFont="1" applyNumberFormat="1">
      <alignment readingOrder="0" vertical="bottom"/>
    </xf>
    <xf borderId="4" fillId="0" fontId="1" numFmtId="164" xfId="0" applyAlignment="1" applyBorder="1" applyFont="1" applyNumberFormat="1">
      <alignment readingOrder="0" vertical="bottom"/>
    </xf>
    <xf borderId="4" fillId="0" fontId="2" numFmtId="0" xfId="0" applyAlignment="1" applyBorder="1" applyFont="1">
      <alignment readingOrder="0" vertical="bottom"/>
    </xf>
    <xf borderId="4" fillId="5" fontId="2" numFmtId="0" xfId="0" applyAlignment="1" applyBorder="1" applyFont="1">
      <alignment horizontal="right" vertical="bottom"/>
    </xf>
    <xf borderId="4" fillId="0" fontId="4" numFmtId="164" xfId="0" applyAlignment="1" applyBorder="1" applyFont="1" applyNumberFormat="1">
      <alignment horizontal="right" readingOrder="0" vertical="bottom"/>
    </xf>
    <xf borderId="4" fillId="0" fontId="1" numFmtId="168" xfId="0" applyAlignment="1" applyBorder="1" applyFont="1" applyNumberFormat="1">
      <alignment horizontal="right" vertical="bottom"/>
    </xf>
    <xf borderId="3" fillId="5" fontId="1" numFmtId="0" xfId="0" applyAlignment="1" applyBorder="1" applyFont="1">
      <alignment vertical="bottom"/>
    </xf>
    <xf borderId="4" fillId="5" fontId="1" numFmtId="0" xfId="0" applyAlignment="1" applyBorder="1" applyFont="1">
      <alignment vertical="bottom"/>
    </xf>
    <xf borderId="4" fillId="5" fontId="1" numFmtId="10" xfId="0" applyAlignment="1" applyBorder="1" applyFont="1" applyNumberFormat="1">
      <alignment vertical="bottom"/>
    </xf>
    <xf borderId="4" fillId="5" fontId="1" numFmtId="3" xfId="0" applyAlignment="1" applyBorder="1" applyFont="1" applyNumberFormat="1">
      <alignment readingOrder="0" vertical="bottom"/>
    </xf>
    <xf borderId="4" fillId="5" fontId="1" numFmtId="10" xfId="0" applyAlignment="1" applyBorder="1" applyFont="1" applyNumberFormat="1">
      <alignment vertical="bottom"/>
    </xf>
    <xf borderId="4" fillId="5" fontId="2" numFmtId="165" xfId="0" applyAlignment="1" applyBorder="1" applyFont="1" applyNumberFormat="1">
      <alignment horizontal="right" vertical="bottom"/>
    </xf>
    <xf borderId="4" fillId="5" fontId="1" numFmtId="168" xfId="0" applyAlignment="1" applyBorder="1" applyFont="1" applyNumberFormat="1">
      <alignment readingOrder="0" vertical="bottom"/>
    </xf>
    <xf borderId="4" fillId="5" fontId="1" numFmtId="165" xfId="0" applyAlignment="1" applyBorder="1" applyFont="1" applyNumberFormat="1">
      <alignment horizontal="right" readingOrder="0" vertical="bottom"/>
    </xf>
    <xf borderId="3" fillId="3" fontId="1" numFmtId="0" xfId="0" applyAlignment="1" applyBorder="1" applyFont="1">
      <alignment vertical="bottom"/>
    </xf>
    <xf borderId="4" fillId="3" fontId="1" numFmtId="0" xfId="0" applyAlignment="1" applyBorder="1" applyFont="1">
      <alignment vertical="bottom"/>
    </xf>
    <xf borderId="4" fillId="3" fontId="1" numFmtId="165" xfId="0" applyAlignment="1" applyBorder="1" applyFont="1" applyNumberFormat="1">
      <alignment vertical="bottom"/>
    </xf>
    <xf borderId="4" fillId="3" fontId="2" numFmtId="165" xfId="0" applyAlignment="1" applyBorder="1" applyFont="1" applyNumberFormat="1">
      <alignment horizontal="right" vertical="bottom"/>
    </xf>
    <xf borderId="4" fillId="3" fontId="3" numFmtId="165" xfId="0" applyAlignment="1" applyBorder="1" applyFont="1" applyNumberFormat="1">
      <alignment horizontal="right" vertical="bottom"/>
    </xf>
    <xf borderId="4" fillId="3" fontId="1" numFmtId="164" xfId="0" applyAlignment="1" applyBorder="1" applyFont="1" applyNumberFormat="1">
      <alignment vertical="bottom"/>
    </xf>
    <xf borderId="4" fillId="3" fontId="3" numFmtId="10" xfId="0" applyAlignment="1" applyBorder="1" applyFont="1" applyNumberFormat="1">
      <alignment horizontal="right" vertical="bottom"/>
    </xf>
    <xf borderId="4" fillId="3" fontId="1" numFmtId="10" xfId="0" applyAlignment="1" applyBorder="1" applyFont="1" applyNumberFormat="1">
      <alignment vertical="bottom"/>
    </xf>
    <xf borderId="3" fillId="2" fontId="2" numFmtId="0" xfId="0" applyAlignment="1" applyBorder="1" applyFont="1">
      <alignment vertical="bottom"/>
    </xf>
    <xf borderId="4" fillId="2" fontId="2" numFmtId="10" xfId="0" applyAlignment="1" applyBorder="1" applyFont="1" applyNumberFormat="1">
      <alignment horizontal="right" vertical="bottom"/>
    </xf>
    <xf borderId="4" fillId="5" fontId="1" numFmtId="10" xfId="0" applyAlignment="1" applyBorder="1" applyFont="1" applyNumberFormat="1">
      <alignment horizontal="right" vertical="bottom"/>
    </xf>
    <xf borderId="4" fillId="0" fontId="3" numFmtId="0" xfId="0" applyAlignment="1" applyBorder="1" applyFont="1">
      <alignment vertical="bottom"/>
    </xf>
    <xf borderId="4" fillId="5" fontId="1" numFmtId="3" xfId="0" applyAlignment="1" applyBorder="1" applyFont="1" applyNumberFormat="1">
      <alignment horizontal="right" readingOrder="0" vertical="bottom"/>
    </xf>
    <xf borderId="4" fillId="5" fontId="4" numFmtId="164" xfId="0" applyAlignment="1" applyBorder="1" applyFont="1" applyNumberFormat="1">
      <alignment horizontal="right" readingOrder="0" vertical="bottom"/>
    </xf>
    <xf borderId="4" fillId="5" fontId="4" numFmtId="164" xfId="0" applyAlignment="1" applyBorder="1" applyFont="1" applyNumberFormat="1">
      <alignment horizontal="right" vertical="bottom"/>
    </xf>
    <xf borderId="4" fillId="5" fontId="1" numFmtId="165" xfId="0" applyAlignment="1" applyBorder="1" applyFont="1" applyNumberFormat="1">
      <alignment vertical="bottom"/>
    </xf>
    <xf borderId="4" fillId="5" fontId="1" numFmtId="165" xfId="0" applyAlignment="1" applyBorder="1" applyFont="1" applyNumberFormat="1">
      <alignment readingOrder="0" vertical="bottom"/>
    </xf>
    <xf borderId="4" fillId="5" fontId="1" numFmtId="168" xfId="0" applyAlignment="1" applyBorder="1" applyFont="1" applyNumberFormat="1">
      <alignment vertical="bottom"/>
    </xf>
    <xf borderId="4" fillId="5" fontId="1" numFmtId="165" xfId="0" applyAlignment="1" applyBorder="1" applyFont="1" applyNumberFormat="1">
      <alignment horizontal="right" vertical="bottom"/>
    </xf>
    <xf borderId="4" fillId="3" fontId="1" numFmtId="3" xfId="0" applyAlignment="1" applyBorder="1" applyFont="1" applyNumberFormat="1">
      <alignment vertical="bottom"/>
    </xf>
    <xf borderId="4" fillId="3" fontId="1" numFmtId="164" xfId="0" applyAlignment="1" applyBorder="1" applyFont="1" applyNumberFormat="1">
      <alignment vertical="bottom"/>
    </xf>
    <xf borderId="4" fillId="3" fontId="2" numFmtId="10" xfId="0" applyAlignment="1" applyBorder="1" applyFont="1" applyNumberFormat="1">
      <alignment horizontal="right" vertical="bottom"/>
    </xf>
    <xf borderId="4" fillId="3" fontId="2" numFmtId="165" xfId="0" applyAlignment="1" applyBorder="1" applyFont="1" applyNumberFormat="1">
      <alignment readingOrder="0" vertical="bottom"/>
    </xf>
    <xf borderId="4" fillId="5" fontId="1" numFmtId="3" xfId="0" applyAlignment="1" applyBorder="1" applyFont="1" applyNumberFormat="1">
      <alignment horizontal="right" vertical="bottom"/>
    </xf>
    <xf borderId="4" fillId="5" fontId="4" numFmtId="165" xfId="0" applyAlignment="1" applyBorder="1" applyFont="1" applyNumberFormat="1">
      <alignment horizontal="right" vertical="bottom"/>
    </xf>
    <xf borderId="4" fillId="5" fontId="4" numFmtId="164" xfId="0" applyAlignment="1" applyBorder="1" applyFont="1" applyNumberFormat="1">
      <alignment horizontal="right" readingOrder="0" vertical="bottom"/>
    </xf>
    <xf borderId="4" fillId="5" fontId="1" numFmtId="164" xfId="0" applyAlignment="1" applyBorder="1" applyFont="1" applyNumberFormat="1">
      <alignment vertical="bottom"/>
    </xf>
    <xf borderId="4" fillId="5" fontId="1" numFmtId="168" xfId="0" applyAlignment="1" applyBorder="1" applyFont="1" applyNumberFormat="1">
      <alignment horizontal="right" vertical="bottom"/>
    </xf>
    <xf borderId="4" fillId="5" fontId="4" numFmtId="164" xfId="0" applyAlignment="1" applyBorder="1" applyFont="1" applyNumberFormat="1">
      <alignment horizontal="right" vertical="bottom"/>
    </xf>
    <xf borderId="1" fillId="2" fontId="2" numFmtId="0" xfId="0" applyAlignment="1" applyBorder="1" applyFont="1">
      <alignment vertical="bottom"/>
    </xf>
    <xf borderId="2" fillId="2" fontId="2" numFmtId="10" xfId="0" applyAlignment="1" applyBorder="1" applyFont="1" applyNumberFormat="1">
      <alignment horizontal="right" vertical="bottom"/>
    </xf>
    <xf borderId="4" fillId="5" fontId="3" numFmtId="0" xfId="0" applyAlignment="1" applyBorder="1" applyFont="1">
      <alignment vertical="bottom"/>
    </xf>
    <xf borderId="4" fillId="0" fontId="4" numFmtId="165" xfId="0" applyAlignment="1" applyBorder="1" applyFont="1" applyNumberFormat="1">
      <alignment horizontal="right" vertical="bottom"/>
    </xf>
    <xf borderId="4" fillId="5" fontId="3" numFmtId="0" xfId="0" applyAlignment="1" applyBorder="1" applyFont="1">
      <alignment readingOrder="0" vertical="bottom"/>
    </xf>
    <xf borderId="4" fillId="4" fontId="1" numFmtId="0" xfId="0" applyAlignment="1" applyBorder="1" applyFont="1">
      <alignment vertical="bottom"/>
    </xf>
    <xf borderId="4" fillId="0" fontId="4" numFmtId="164" xfId="0" applyAlignment="1" applyBorder="1" applyFont="1" applyNumberFormat="1">
      <alignment horizontal="right" readingOrder="0" vertical="bottom"/>
    </xf>
    <xf borderId="4" fillId="0" fontId="1" numFmtId="164" xfId="0" applyAlignment="1" applyBorder="1" applyFont="1" applyNumberFormat="1">
      <alignment vertical="bottom"/>
    </xf>
    <xf borderId="4" fillId="0" fontId="1" numFmtId="164" xfId="0" applyAlignment="1" applyBorder="1" applyFont="1" applyNumberFormat="1">
      <alignment horizontal="right" vertical="bottom"/>
    </xf>
    <xf borderId="3" fillId="0" fontId="2" numFmtId="0" xfId="0" applyAlignment="1" applyBorder="1" applyFont="1">
      <alignment vertical="bottom"/>
    </xf>
    <xf borderId="4" fillId="0" fontId="2" numFmtId="165" xfId="0" applyAlignment="1" applyBorder="1" applyFont="1" applyNumberFormat="1">
      <alignment horizontal="right" vertical="bottom"/>
    </xf>
    <xf borderId="4" fillId="0" fontId="2" numFmtId="10" xfId="0" applyAlignment="1" applyBorder="1" applyFont="1" applyNumberFormat="1">
      <alignment horizontal="right" vertical="bottom"/>
    </xf>
    <xf borderId="4" fillId="4" fontId="5" numFmtId="166" xfId="0" applyAlignment="1" applyBorder="1" applyFont="1" applyNumberFormat="1">
      <alignment horizontal="right" vertical="bottom"/>
    </xf>
    <xf borderId="4" fillId="0" fontId="2" numFmtId="0" xfId="0" applyAlignment="1" applyBorder="1" applyFont="1">
      <alignment readingOrder="0" vertical="bottom"/>
    </xf>
    <xf borderId="4" fillId="0" fontId="1" numFmtId="10" xfId="0" applyAlignment="1" applyBorder="1" applyFont="1" applyNumberFormat="1">
      <alignment horizontal="right" readingOrder="0" vertical="bottom"/>
    </xf>
    <xf borderId="4" fillId="5" fontId="6" numFmtId="0" xfId="0" applyAlignment="1" applyBorder="1" applyFont="1">
      <alignment vertical="bottom"/>
    </xf>
    <xf borderId="4" fillId="4" fontId="1" numFmtId="166" xfId="0" applyAlignment="1" applyBorder="1" applyFont="1" applyNumberFormat="1">
      <alignment vertical="bottom"/>
    </xf>
    <xf borderId="1" fillId="0" fontId="4" numFmtId="165" xfId="0" applyAlignment="1" applyBorder="1" applyFont="1" applyNumberFormat="1">
      <alignment horizontal="right" readingOrder="0" vertical="bottom"/>
    </xf>
    <xf borderId="4" fillId="0" fontId="7" numFmtId="164" xfId="0" applyAlignment="1" applyBorder="1" applyFont="1" applyNumberFormat="1">
      <alignment horizontal="right" vertical="bottom"/>
    </xf>
    <xf borderId="4" fillId="4" fontId="8" numFmtId="167" xfId="0" applyAlignment="1" applyBorder="1" applyFont="1" applyNumberFormat="1">
      <alignment horizontal="right" vertical="bottom"/>
    </xf>
    <xf borderId="4" fillId="0" fontId="7" numFmtId="165" xfId="0" applyAlignment="1" applyBorder="1" applyFont="1" applyNumberFormat="1">
      <alignment horizontal="right" vertical="bottom"/>
    </xf>
    <xf borderId="1" fillId="0" fontId="2" numFmtId="0" xfId="0" applyAlignment="1" applyBorder="1" applyFont="1">
      <alignment vertical="bottom"/>
    </xf>
    <xf borderId="1" fillId="0" fontId="1" numFmtId="168" xfId="0" applyAlignment="1" applyBorder="1" applyFont="1" applyNumberFormat="1">
      <alignment vertical="bottom"/>
    </xf>
    <xf borderId="1" fillId="0" fontId="1" numFmtId="165" xfId="0" applyAlignment="1" applyBorder="1" applyFont="1" applyNumberFormat="1">
      <alignment vertical="bottom"/>
    </xf>
    <xf borderId="1" fillId="0" fontId="2" numFmtId="0" xfId="0" applyAlignment="1" applyBorder="1" applyFont="1">
      <alignment readingOrder="0" vertical="bottom"/>
    </xf>
    <xf borderId="1" fillId="0" fontId="1" numFmtId="168" xfId="0" applyAlignment="1" applyBorder="1" applyFont="1" applyNumberFormat="1">
      <alignment readingOrder="0" vertical="bottom"/>
    </xf>
    <xf borderId="1" fillId="0" fontId="1" numFmtId="164" xfId="0" applyAlignment="1" applyBorder="1" applyFont="1" applyNumberFormat="1">
      <alignment readingOrder="0" vertical="bottom"/>
    </xf>
    <xf borderId="4" fillId="0" fontId="1" numFmtId="164" xfId="0" applyAlignment="1" applyBorder="1" applyFont="1" applyNumberFormat="1">
      <alignment horizontal="right" readingOrder="0" vertical="bottom"/>
    </xf>
    <xf borderId="1" fillId="0" fontId="4" numFmtId="164" xfId="0" applyAlignment="1" applyBorder="1" applyFont="1" applyNumberFormat="1">
      <alignment horizontal="right" readingOrder="0" vertical="bottom"/>
    </xf>
    <xf borderId="1" fillId="0" fontId="1" numFmtId="164" xfId="0" applyAlignment="1" applyBorder="1" applyFont="1" applyNumberFormat="1">
      <alignment vertical="bottom"/>
    </xf>
    <xf borderId="1" fillId="3" fontId="1" numFmtId="0" xfId="0" applyAlignment="1" applyBorder="1" applyFont="1">
      <alignment vertical="bottom"/>
    </xf>
    <xf borderId="0" fillId="0" fontId="1" numFmtId="0" xfId="0" applyAlignment="1" applyFont="1">
      <alignment vertical="bottom"/>
    </xf>
    <xf borderId="0" fillId="5" fontId="1" numFmtId="0" xfId="0" applyAlignment="1" applyFont="1">
      <alignment vertical="bottom"/>
    </xf>
    <xf borderId="5" fillId="0" fontId="1" numFmtId="0" xfId="0" applyAlignment="1" applyBorder="1" applyFont="1">
      <alignment vertical="bottom"/>
    </xf>
    <xf borderId="4" fillId="2" fontId="2" numFmtId="165" xfId="0" applyAlignment="1" applyBorder="1" applyFont="1" applyNumberFormat="1">
      <alignment horizontal="right" vertical="bottom"/>
    </xf>
    <xf borderId="1" fillId="5" fontId="9" numFmtId="0" xfId="0" applyAlignment="1" applyBorder="1" applyFont="1">
      <alignment vertical="bottom"/>
    </xf>
    <xf borderId="4" fillId="4" fontId="1" numFmtId="167" xfId="0" applyAlignment="1" applyBorder="1" applyFont="1" applyNumberFormat="1">
      <alignment vertical="bottom"/>
    </xf>
    <xf borderId="0" fillId="4" fontId="8" numFmtId="167" xfId="0" applyAlignment="1" applyFont="1" applyNumberFormat="1">
      <alignment horizontal="right" vertical="bottom"/>
    </xf>
    <xf borderId="4" fillId="2" fontId="1" numFmtId="167" xfId="0" applyAlignment="1" applyBorder="1" applyFont="1" applyNumberFormat="1">
      <alignment vertical="bottom"/>
    </xf>
    <xf borderId="4" fillId="2" fontId="1" numFmtId="165" xfId="0" applyAlignment="1" applyBorder="1" applyFont="1" applyNumberFormat="1">
      <alignment vertical="bottom"/>
    </xf>
    <xf borderId="4" fillId="0" fontId="1" numFmtId="165" xfId="0" applyAlignment="1" applyBorder="1" applyFont="1" applyNumberFormat="1">
      <alignment vertical="bottom"/>
    </xf>
    <xf borderId="4" fillId="0" fontId="10" numFmtId="165" xfId="0" applyAlignment="1" applyBorder="1" applyFont="1" applyNumberFormat="1">
      <alignment horizontal="right" readingOrder="0" vertical="bottom"/>
    </xf>
    <xf borderId="4" fillId="5" fontId="1" numFmtId="0" xfId="0" applyAlignment="1" applyBorder="1" applyFont="1">
      <alignment horizontal="right" vertical="bottom"/>
    </xf>
    <xf borderId="4" fillId="2" fontId="2" numFmtId="0" xfId="0" applyAlignment="1" applyBorder="1" applyFont="1">
      <alignment readingOrder="0" vertical="bottom"/>
    </xf>
    <xf borderId="4" fillId="2" fontId="2" numFmtId="0" xfId="0" applyAlignment="1" applyBorder="1" applyFont="1">
      <alignment vertical="bottom"/>
    </xf>
    <xf borderId="4" fillId="3" fontId="2" numFmtId="165" xfId="0" applyAlignment="1" applyBorder="1" applyFont="1" applyNumberFormat="1">
      <alignment horizontal="right" readingOrder="0" vertical="bottom"/>
    </xf>
    <xf borderId="1" fillId="3" fontId="2" numFmtId="165" xfId="0" applyAlignment="1" applyBorder="1" applyFont="1" applyNumberFormat="1">
      <alignment horizontal="right" vertical="bottom"/>
    </xf>
    <xf borderId="6" fillId="0" fontId="1" numFmtId="0" xfId="0" applyAlignment="1" applyBorder="1" applyFont="1">
      <alignment vertical="bottom"/>
    </xf>
    <xf borderId="1" fillId="0" fontId="1" numFmtId="0" xfId="0" applyAlignment="1" applyBorder="1" applyFont="1">
      <alignment vertical="bottom"/>
    </xf>
    <xf borderId="6" fillId="0" fontId="1" numFmtId="0" xfId="0" applyAlignment="1" applyBorder="1" applyFont="1">
      <alignment vertical="bottom"/>
    </xf>
    <xf borderId="3" fillId="6" fontId="2" numFmtId="0" xfId="0" applyAlignment="1" applyBorder="1" applyFill="1" applyFont="1">
      <alignment vertical="bottom"/>
    </xf>
    <xf borderId="4" fillId="6" fontId="1" numFmtId="0" xfId="0" applyAlignment="1" applyBorder="1" applyFont="1">
      <alignment vertical="bottom"/>
    </xf>
    <xf borderId="4" fillId="6" fontId="2" numFmtId="0" xfId="0" applyAlignment="1" applyBorder="1" applyFont="1">
      <alignment readingOrder="0" vertical="bottom"/>
    </xf>
    <xf borderId="4" fillId="6" fontId="2" numFmtId="0" xfId="0" applyAlignment="1" applyBorder="1" applyFont="1">
      <alignment vertical="bottom"/>
    </xf>
    <xf borderId="1" fillId="6" fontId="2" numFmtId="0" xfId="0" applyAlignment="1" applyBorder="1" applyFont="1">
      <alignment vertical="bottom"/>
    </xf>
    <xf borderId="1" fillId="3" fontId="11" numFmtId="0" xfId="0" applyAlignment="1" applyBorder="1" applyFont="1">
      <alignment vertical="bottom"/>
    </xf>
    <xf borderId="4" fillId="0" fontId="3" numFmtId="3" xfId="0" applyAlignment="1" applyBorder="1" applyFont="1" applyNumberFormat="1">
      <alignment horizontal="right" readingOrder="0" vertical="bottom"/>
    </xf>
    <xf borderId="4" fillId="0" fontId="3" numFmtId="3" xfId="0" applyAlignment="1" applyBorder="1" applyFont="1" applyNumberFormat="1">
      <alignment horizontal="right" vertical="bottom"/>
    </xf>
    <xf borderId="4" fillId="0" fontId="2" numFmtId="4" xfId="0" applyAlignment="1" applyBorder="1" applyFont="1" applyNumberFormat="1">
      <alignment horizontal="right" vertical="bottom"/>
    </xf>
    <xf borderId="4" fillId="4" fontId="2" numFmtId="167" xfId="0" applyAlignment="1" applyBorder="1" applyFont="1" applyNumberFormat="1">
      <alignment horizontal="right" vertical="bottom"/>
    </xf>
    <xf borderId="7" fillId="5" fontId="1" numFmtId="166" xfId="0" applyAlignment="1" applyBorder="1" applyFont="1" applyNumberFormat="1">
      <alignment vertical="bottom"/>
    </xf>
    <xf borderId="1" fillId="2" fontId="2" numFmtId="3" xfId="0" applyAlignment="1" applyBorder="1" applyFont="1" applyNumberFormat="1">
      <alignment horizontal="right" vertical="bottom"/>
    </xf>
    <xf borderId="1" fillId="0" fontId="1" numFmtId="168" xfId="0" applyAlignment="1" applyBorder="1" applyFont="1" applyNumberFormat="1">
      <alignment horizontal="right" vertical="bottom"/>
    </xf>
    <xf borderId="1" fillId="0" fontId="1" numFmtId="164" xfId="0" applyAlignment="1" applyBorder="1" applyFont="1" applyNumberFormat="1">
      <alignment horizontal="right" vertical="bottom"/>
    </xf>
    <xf borderId="1" fillId="0" fontId="1" numFmtId="165" xfId="0" applyAlignment="1" applyBorder="1" applyFont="1" applyNumberFormat="1">
      <alignment horizontal="right" vertical="bottom"/>
    </xf>
    <xf borderId="1" fillId="0" fontId="1" numFmtId="164" xfId="0" applyAlignment="1" applyBorder="1" applyFont="1" applyNumberFormat="1">
      <alignment readingOrder="0" vertical="bottom"/>
    </xf>
    <xf borderId="1" fillId="0" fontId="1" numFmtId="165" xfId="0" applyAlignment="1" applyBorder="1" applyFont="1" applyNumberFormat="1">
      <alignment horizontal="right" readingOrder="0" vertical="bottom"/>
    </xf>
    <xf borderId="1" fillId="0" fontId="1" numFmtId="164" xfId="0" applyAlignment="1" applyBorder="1" applyFont="1" applyNumberFormat="1">
      <alignment vertical="bottom"/>
    </xf>
    <xf borderId="1" fillId="2" fontId="2" numFmtId="3" xfId="0" applyAlignment="1" applyBorder="1" applyFont="1" applyNumberFormat="1">
      <alignment horizontal="right" readingOrder="0" vertical="bottom"/>
    </xf>
    <xf borderId="1" fillId="0" fontId="1" numFmtId="168" xfId="0" applyAlignment="1" applyBorder="1" applyFont="1" applyNumberFormat="1">
      <alignment horizontal="right" readingOrder="0" vertical="bottom"/>
    </xf>
    <xf borderId="1" fillId="0" fontId="1" numFmtId="164" xfId="0" applyAlignment="1" applyBorder="1" applyFont="1" applyNumberFormat="1">
      <alignment horizontal="right" readingOrder="0" vertical="bottom"/>
    </xf>
    <xf borderId="1" fillId="2" fontId="2" numFmtId="3" xfId="0" applyAlignment="1" applyBorder="1" applyFont="1" applyNumberFormat="1">
      <alignment horizontal="right" readingOrder="0" vertical="bottom"/>
    </xf>
    <xf borderId="1" fillId="5" fontId="2" numFmtId="0" xfId="0" applyAlignment="1" applyBorder="1" applyFont="1">
      <alignment readingOrder="0" vertical="bottom"/>
    </xf>
    <xf borderId="1" fillId="5" fontId="1" numFmtId="168" xfId="0" applyAlignment="1" applyBorder="1" applyFont="1" applyNumberFormat="1">
      <alignment horizontal="right" readingOrder="0" vertical="bottom"/>
    </xf>
    <xf borderId="1" fillId="5" fontId="1" numFmtId="164" xfId="0" applyAlignment="1" applyBorder="1" applyFont="1" applyNumberFormat="1">
      <alignment horizontal="right" readingOrder="0" vertical="bottom"/>
    </xf>
    <xf borderId="1" fillId="5" fontId="1" numFmtId="165" xfId="0" applyAlignment="1" applyBorder="1" applyFont="1" applyNumberFormat="1">
      <alignment horizontal="right" readingOrder="0" vertical="bottom"/>
    </xf>
    <xf borderId="1" fillId="5" fontId="1" numFmtId="164" xfId="0" applyAlignment="1" applyBorder="1" applyFont="1" applyNumberFormat="1">
      <alignment horizontal="right" readingOrder="0" vertical="bottom"/>
    </xf>
    <xf borderId="1" fillId="0" fontId="2" numFmtId="0" xfId="0" applyAlignment="1" applyBorder="1" applyFont="1">
      <alignment readingOrder="0" vertical="bottom"/>
    </xf>
    <xf borderId="1" fillId="0" fontId="1" numFmtId="168" xfId="0" applyAlignment="1" applyBorder="1" applyFont="1" applyNumberFormat="1">
      <alignment horizontal="right" readingOrder="0" vertical="bottom"/>
    </xf>
    <xf borderId="1" fillId="0" fontId="1" numFmtId="164" xfId="0" applyAlignment="1" applyBorder="1" applyFont="1" applyNumberFormat="1">
      <alignment horizontal="right" readingOrder="0" vertical="bottom"/>
    </xf>
    <xf borderId="1" fillId="0" fontId="1" numFmtId="165" xfId="0" applyAlignment="1" applyBorder="1" applyFont="1" applyNumberFormat="1">
      <alignment horizontal="right" readingOrder="0" vertical="bottom"/>
    </xf>
    <xf borderId="1" fillId="0" fontId="1" numFmtId="168" xfId="0" applyAlignment="1" applyBorder="1" applyFont="1" applyNumberFormat="1">
      <alignment horizontal="right" vertical="bottom"/>
    </xf>
    <xf borderId="1" fillId="0" fontId="1" numFmtId="164" xfId="0" applyAlignment="1" applyBorder="1" applyFont="1" applyNumberFormat="1">
      <alignment horizontal="right" vertical="bottom"/>
    </xf>
    <xf borderId="1" fillId="6" fontId="1" numFmtId="0" xfId="0" applyAlignment="1" applyBorder="1" applyFont="1">
      <alignment vertical="bottom"/>
    </xf>
    <xf borderId="1" fillId="6" fontId="2" numFmtId="0" xfId="0" applyAlignment="1" applyBorder="1" applyFont="1">
      <alignment readingOrder="0" vertical="bottom"/>
    </xf>
    <xf borderId="1" fillId="0" fontId="2" numFmtId="0" xfId="0" applyAlignment="1" applyBorder="1" applyFont="1">
      <alignment vertical="bottom"/>
    </xf>
    <xf borderId="1" fillId="0" fontId="3" numFmtId="3" xfId="0" applyAlignment="1" applyBorder="1" applyFont="1" applyNumberFormat="1">
      <alignment horizontal="right" vertical="bottom"/>
    </xf>
    <xf borderId="1" fillId="0" fontId="2" numFmtId="4" xfId="0" applyAlignment="1" applyBorder="1" applyFont="1" applyNumberFormat="1">
      <alignment horizontal="right" vertical="bottom"/>
    </xf>
    <xf borderId="1" fillId="4" fontId="2" numFmtId="167" xfId="0" applyAlignment="1" applyBorder="1" applyFont="1" applyNumberFormat="1">
      <alignment horizontal="right" vertical="bottom"/>
    </xf>
    <xf borderId="1" fillId="5" fontId="2" numFmtId="0" xfId="0" applyAlignment="1" applyBorder="1" applyFont="1">
      <alignment vertical="bottom"/>
    </xf>
    <xf borderId="1" fillId="5" fontId="1" numFmtId="168" xfId="0" applyAlignment="1" applyBorder="1" applyFont="1" applyNumberFormat="1">
      <alignment horizontal="right" vertical="bottom"/>
    </xf>
    <xf borderId="1" fillId="5" fontId="1" numFmtId="164" xfId="0" applyAlignment="1" applyBorder="1" applyFont="1" applyNumberFormat="1">
      <alignment horizontal="right" vertical="bottom"/>
    </xf>
    <xf borderId="1" fillId="5" fontId="1" numFmtId="165" xfId="0" applyAlignment="1" applyBorder="1" applyFont="1" applyNumberFormat="1">
      <alignment horizontal="right" vertical="bottom"/>
    </xf>
    <xf borderId="1" fillId="3" fontId="2" numFmtId="0" xfId="0" applyAlignment="1" applyBorder="1" applyFont="1">
      <alignment vertical="bottom"/>
    </xf>
    <xf borderId="1" fillId="3" fontId="2" numFmtId="165" xfId="0" applyAlignment="1" applyBorder="1" applyFont="1" applyNumberFormat="1">
      <alignment horizontal="right" vertical="bottom"/>
    </xf>
    <xf borderId="1" fillId="3" fontId="1" numFmtId="164" xfId="0" applyAlignment="1" applyBorder="1" applyFont="1" applyNumberFormat="1">
      <alignment vertical="bottom"/>
    </xf>
    <xf borderId="0" fillId="0" fontId="2" numFmtId="0" xfId="0" applyAlignment="1" applyFont="1">
      <alignment vertical="bottom"/>
    </xf>
    <xf borderId="0" fillId="0" fontId="12" numFmtId="0" xfId="0" applyAlignment="1" applyFont="1">
      <alignment vertical="bottom"/>
    </xf>
    <xf borderId="1" fillId="2" fontId="1" numFmtId="3" xfId="0" applyAlignment="1" applyBorder="1" applyFont="1" applyNumberFormat="1">
      <alignment vertical="bottom"/>
    </xf>
    <xf borderId="1" fillId="5" fontId="1" numFmtId="0" xfId="0" applyAlignment="1" applyBorder="1" applyFont="1">
      <alignment vertical="bottom"/>
    </xf>
    <xf borderId="1" fillId="5" fontId="1" numFmtId="165" xfId="0" applyAlignment="1" applyBorder="1" applyFont="1" applyNumberFormat="1">
      <alignment vertical="bottom"/>
    </xf>
    <xf borderId="1" fillId="5" fontId="1" numFmtId="168" xfId="0" applyAlignment="1" applyBorder="1" applyFont="1" applyNumberFormat="1">
      <alignment vertical="bottom"/>
    </xf>
    <xf borderId="0" fillId="0" fontId="1" numFmtId="165" xfId="0" applyAlignment="1" applyFont="1" applyNumberFormat="1">
      <alignment vertical="bottom"/>
    </xf>
    <xf borderId="0" fillId="0" fontId="1" numFmtId="0" xfId="0" applyAlignment="1" applyFont="1">
      <alignment readingOrder="0" vertical="bottom"/>
    </xf>
    <xf borderId="1" fillId="5" fontId="1" numFmtId="164" xfId="0" applyAlignment="1" applyBorder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rc.seekingalpha.com/group/All-Weather-Portfolio-Updates" TargetMode="External"/><Relationship Id="rId2" Type="http://schemas.openxmlformats.org/officeDocument/2006/relationships/hyperlink" Target="https://rc.seekingalpha.com/group/the-financial-prophet" TargetMode="External"/><Relationship Id="rId3" Type="http://schemas.openxmlformats.org/officeDocument/2006/relationships/hyperlink" Target="https://rc.seekingalpha.com/group/Ask-The-Prophet" TargetMode="External"/><Relationship Id="rId4" Type="http://schemas.openxmlformats.org/officeDocument/2006/relationships/hyperlink" Target="https://seekingalpha.com/mp/1129-the-financial-prophet/articles/5986827-the-all-weather-etf-portfolio-embedded" TargetMode="External"/><Relationship Id="rId5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38"/>
    <col customWidth="1" min="2" max="2" width="23.38"/>
    <col customWidth="1" min="3" max="3" width="20.38"/>
    <col customWidth="1" min="4" max="4" width="19.13"/>
    <col customWidth="1" min="5" max="5" width="24.75"/>
    <col customWidth="1" min="8" max="8" width="23.25"/>
    <col customWidth="1" min="9" max="9" width="24.38"/>
    <col customWidth="1" min="10" max="10" width="15.38"/>
    <col customWidth="1" min="11" max="11" width="22.13"/>
    <col customWidth="1" min="12" max="12" width="11.5"/>
    <col customWidth="1" min="13" max="13" width="18.25"/>
    <col customWidth="1" min="14" max="14" width="13.5"/>
    <col customWidth="1" min="15" max="15" width="10.88"/>
    <col customWidth="1" min="16" max="16" width="14.25"/>
    <col customWidth="1" min="17" max="17" width="10.0"/>
    <col customWidth="1" min="18" max="18" width="9.88"/>
    <col customWidth="1" min="19" max="19" width="26.5"/>
    <col customWidth="1" min="20" max="20" width="10.88"/>
    <col customWidth="1" min="21" max="21" width="17.5"/>
    <col customWidth="1" min="22" max="22" width="14.25"/>
    <col customWidth="1" min="23" max="23" width="11.0"/>
    <col customWidth="1" min="24" max="24" width="15.13"/>
    <col customWidth="1" min="25" max="25" width="13.5"/>
    <col customWidth="1" min="26" max="26" width="13.38"/>
    <col customWidth="1" min="27" max="27" width="14.25"/>
    <col customWidth="1" min="28" max="28" width="10.75"/>
  </cols>
  <sheetData>
    <row r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>
      <c r="A2" s="3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5" t="s">
        <v>8</v>
      </c>
      <c r="J2" s="5" t="s">
        <v>9</v>
      </c>
      <c r="K2" s="6" t="s">
        <v>10</v>
      </c>
      <c r="L2" s="6" t="s">
        <v>11</v>
      </c>
      <c r="M2" s="7" t="s">
        <v>12</v>
      </c>
      <c r="N2" s="7" t="s">
        <v>13</v>
      </c>
      <c r="O2" s="4" t="s">
        <v>14</v>
      </c>
      <c r="P2" s="7" t="s">
        <v>15</v>
      </c>
      <c r="Q2" s="4" t="s">
        <v>16</v>
      </c>
      <c r="R2" s="8" t="s">
        <v>17</v>
      </c>
      <c r="S2" s="7" t="s">
        <v>18</v>
      </c>
      <c r="T2" s="4" t="s">
        <v>19</v>
      </c>
      <c r="U2" s="4" t="s">
        <v>20</v>
      </c>
      <c r="V2" s="4" t="s">
        <v>21</v>
      </c>
      <c r="W2" s="4" t="s">
        <v>22</v>
      </c>
      <c r="X2" s="9" t="s">
        <v>23</v>
      </c>
      <c r="Y2" s="9" t="s">
        <v>24</v>
      </c>
      <c r="Z2" s="4" t="s">
        <v>25</v>
      </c>
      <c r="AA2" s="4" t="s">
        <v>26</v>
      </c>
      <c r="AB2" s="4" t="s">
        <v>27</v>
      </c>
      <c r="AC2" s="4" t="s">
        <v>28</v>
      </c>
    </row>
    <row r="3">
      <c r="A3" s="10" t="s">
        <v>29</v>
      </c>
      <c r="B3" s="10" t="s">
        <v>29</v>
      </c>
      <c r="C3" s="11">
        <f>I3/E85</f>
        <v>0.01302977128</v>
      </c>
      <c r="D3" s="12" t="s">
        <v>30</v>
      </c>
      <c r="E3" s="12" t="s">
        <v>31</v>
      </c>
      <c r="F3" s="13">
        <v>7.8</v>
      </c>
      <c r="G3" s="14">
        <v>2000.0</v>
      </c>
      <c r="H3" s="15">
        <f t="shared" ref="H3:H8" si="1">G3*J3</f>
        <v>380880</v>
      </c>
      <c r="I3" s="15">
        <f t="shared" ref="I3:I22" si="2">H3+P3</f>
        <v>403800</v>
      </c>
      <c r="J3" s="16">
        <v>190.44</v>
      </c>
      <c r="K3" s="17">
        <f>IFERROR(__xludf.DUMMYFUNCTION("GOOGLEFINANCE(E3,""changepct"")"),0.0)</f>
        <v>0</v>
      </c>
      <c r="L3" s="18">
        <f>IFERROR(__xludf.DUMMYFUNCTION("googlefinance(E3,""price"")"),201.9)</f>
        <v>201.9</v>
      </c>
      <c r="M3" s="19"/>
      <c r="N3" s="20">
        <f t="shared" ref="N3:N23" si="3">L3-J3</f>
        <v>11.46</v>
      </c>
      <c r="O3" s="21">
        <f t="shared" ref="O3:O22" si="4">L3/J3-1</f>
        <v>0.06017643352</v>
      </c>
      <c r="P3" s="15">
        <f t="shared" ref="P3:P23" si="5">H3*O3</f>
        <v>22920</v>
      </c>
      <c r="Q3" s="11">
        <v>0.0011</v>
      </c>
      <c r="R3" s="15"/>
      <c r="S3" s="22"/>
      <c r="T3" s="23"/>
      <c r="U3" s="23"/>
      <c r="V3" s="24"/>
      <c r="W3" s="25"/>
      <c r="X3" s="19"/>
      <c r="Y3" s="23"/>
      <c r="Z3" s="26"/>
      <c r="AA3" s="24"/>
      <c r="AB3" s="19"/>
      <c r="AC3" s="23"/>
    </row>
    <row r="4">
      <c r="A4" s="27">
        <f>(I24+I33+I57)/E85</f>
        <v>0.7001376096</v>
      </c>
      <c r="B4" s="27">
        <f>I24/E85</f>
        <v>0.5589060858</v>
      </c>
      <c r="C4" s="11">
        <f>I4/E85</f>
        <v>0.02509150607</v>
      </c>
      <c r="D4" s="12" t="s">
        <v>32</v>
      </c>
      <c r="E4" s="12" t="s">
        <v>33</v>
      </c>
      <c r="F4" s="13">
        <v>7.9</v>
      </c>
      <c r="G4" s="14">
        <v>9000.0</v>
      </c>
      <c r="H4" s="15">
        <f t="shared" si="1"/>
        <v>758790</v>
      </c>
      <c r="I4" s="15">
        <f t="shared" si="2"/>
        <v>777600</v>
      </c>
      <c r="J4" s="16">
        <v>84.31</v>
      </c>
      <c r="K4" s="17">
        <f>IFERROR(__xludf.DUMMYFUNCTION("GOOGLEFINANCE(E4,""changepct"")"),0.0)</f>
        <v>0</v>
      </c>
      <c r="L4" s="18">
        <f>IFERROR(__xludf.DUMMYFUNCTION("googlefinance(E4,""price"")"),86.4)</f>
        <v>86.4</v>
      </c>
      <c r="M4" s="19"/>
      <c r="N4" s="20">
        <f t="shared" si="3"/>
        <v>2.09</v>
      </c>
      <c r="O4" s="21">
        <f t="shared" si="4"/>
        <v>0.02478946744</v>
      </c>
      <c r="P4" s="15">
        <f t="shared" si="5"/>
        <v>18810</v>
      </c>
      <c r="Q4" s="28"/>
      <c r="R4" s="23"/>
      <c r="S4" s="29"/>
      <c r="T4" s="23"/>
      <c r="U4" s="23"/>
      <c r="V4" s="24"/>
      <c r="W4" s="25"/>
      <c r="X4" s="19"/>
      <c r="Y4" s="23"/>
      <c r="Z4" s="26"/>
      <c r="AA4" s="24"/>
      <c r="AB4" s="19"/>
      <c r="AC4" s="23"/>
    </row>
    <row r="5">
      <c r="A5" s="30"/>
      <c r="B5" s="24"/>
      <c r="C5" s="11">
        <f>I5/E85</f>
        <v>0.104955808</v>
      </c>
      <c r="D5" s="12" t="s">
        <v>34</v>
      </c>
      <c r="E5" s="12" t="s">
        <v>35</v>
      </c>
      <c r="F5" s="31">
        <v>8.0</v>
      </c>
      <c r="G5" s="32">
        <v>8000.0</v>
      </c>
      <c r="H5" s="15">
        <f t="shared" si="1"/>
        <v>3230720</v>
      </c>
      <c r="I5" s="15">
        <f t="shared" si="2"/>
        <v>3252640</v>
      </c>
      <c r="J5" s="16">
        <v>403.84</v>
      </c>
      <c r="K5" s="17">
        <f>IFERROR(__xludf.DUMMYFUNCTION("GOOGLEFINANCE(E5,""changepct"")"),0.0)</f>
        <v>0</v>
      </c>
      <c r="L5" s="18">
        <f>IFERROR(__xludf.DUMMYFUNCTION("googlefinance(E5,""price"")"),406.58)</f>
        <v>406.58</v>
      </c>
      <c r="M5" s="19"/>
      <c r="N5" s="20">
        <f t="shared" si="3"/>
        <v>2.74</v>
      </c>
      <c r="O5" s="21">
        <f t="shared" si="4"/>
        <v>0.006784865293</v>
      </c>
      <c r="P5" s="15">
        <f t="shared" si="5"/>
        <v>21920</v>
      </c>
      <c r="Q5" s="28"/>
      <c r="R5" s="23"/>
      <c r="S5" s="33"/>
      <c r="T5" s="34">
        <v>12700.0</v>
      </c>
      <c r="U5" s="23"/>
      <c r="V5" s="24"/>
      <c r="W5" s="25"/>
      <c r="X5" s="19"/>
      <c r="Y5" s="23"/>
      <c r="Z5" s="26"/>
      <c r="AA5" s="25"/>
      <c r="AB5" s="19"/>
      <c r="AC5" s="23"/>
    </row>
    <row r="6">
      <c r="A6" s="30"/>
      <c r="B6" s="24"/>
      <c r="C6" s="11">
        <f>I6/E85</f>
        <v>0.09513088289</v>
      </c>
      <c r="D6" s="35" t="s">
        <v>36</v>
      </c>
      <c r="E6" s="35" t="s">
        <v>37</v>
      </c>
      <c r="F6" s="36">
        <v>8.1</v>
      </c>
      <c r="G6" s="32">
        <v>24000.0</v>
      </c>
      <c r="H6" s="15">
        <f t="shared" si="1"/>
        <v>2898960</v>
      </c>
      <c r="I6" s="15">
        <f t="shared" si="2"/>
        <v>2948160</v>
      </c>
      <c r="J6" s="16">
        <v>120.79</v>
      </c>
      <c r="K6" s="17">
        <f>IFERROR(__xludf.DUMMYFUNCTION("GOOGLEFINANCE(E6,""changepct"")"),0.0)</f>
        <v>0</v>
      </c>
      <c r="L6" s="18">
        <f>IFERROR(__xludf.DUMMYFUNCTION("googlefinance(E6,""price"")"),122.84)</f>
        <v>122.84</v>
      </c>
      <c r="M6" s="19"/>
      <c r="N6" s="20">
        <f t="shared" si="3"/>
        <v>2.05</v>
      </c>
      <c r="O6" s="21">
        <f t="shared" si="4"/>
        <v>0.01697160361</v>
      </c>
      <c r="P6" s="15">
        <f t="shared" si="5"/>
        <v>49200</v>
      </c>
      <c r="Q6" s="28"/>
      <c r="R6" s="23"/>
      <c r="S6" s="22"/>
      <c r="T6" s="23"/>
      <c r="U6" s="23"/>
      <c r="V6" s="24"/>
      <c r="W6" s="25"/>
      <c r="X6" s="19"/>
      <c r="Y6" s="23"/>
      <c r="Z6" s="37"/>
      <c r="AA6" s="25"/>
      <c r="AB6" s="19"/>
      <c r="AC6" s="23"/>
    </row>
    <row r="7">
      <c r="A7" s="30"/>
      <c r="B7" s="24"/>
      <c r="C7" s="11">
        <f>I7/E85</f>
        <v>0.007927573574</v>
      </c>
      <c r="D7" s="38" t="s">
        <v>38</v>
      </c>
      <c r="E7" s="35" t="s">
        <v>37</v>
      </c>
      <c r="F7" s="36">
        <v>8.1</v>
      </c>
      <c r="G7" s="32">
        <v>2000.0</v>
      </c>
      <c r="H7" s="15">
        <f t="shared" si="1"/>
        <v>233200</v>
      </c>
      <c r="I7" s="15">
        <f t="shared" si="2"/>
        <v>245680</v>
      </c>
      <c r="J7" s="16">
        <v>116.6</v>
      </c>
      <c r="K7" s="17">
        <f>IFERROR(__xludf.DUMMYFUNCTION("GOOGLEFINANCE(E7,""changepct"")"),0.0)</f>
        <v>0</v>
      </c>
      <c r="L7" s="18">
        <f>IFERROR(__xludf.DUMMYFUNCTION("googlefinance(E7,""price"")"),122.84)</f>
        <v>122.84</v>
      </c>
      <c r="M7" s="19"/>
      <c r="N7" s="20">
        <f t="shared" si="3"/>
        <v>6.24</v>
      </c>
      <c r="O7" s="21">
        <f t="shared" si="4"/>
        <v>0.05351629503</v>
      </c>
      <c r="P7" s="15">
        <f t="shared" si="5"/>
        <v>12480</v>
      </c>
      <c r="Q7" s="28"/>
      <c r="R7" s="23"/>
      <c r="S7" s="22"/>
      <c r="T7" s="23"/>
      <c r="U7" s="23"/>
      <c r="V7" s="24"/>
      <c r="W7" s="25"/>
      <c r="X7" s="19"/>
      <c r="Y7" s="23"/>
      <c r="Z7" s="39" t="s">
        <v>37</v>
      </c>
      <c r="AA7" s="40">
        <v>45670.0</v>
      </c>
      <c r="AB7" s="41">
        <v>116.6</v>
      </c>
      <c r="AC7" s="42">
        <v>233200.0</v>
      </c>
    </row>
    <row r="8">
      <c r="A8" s="30"/>
      <c r="B8" s="24"/>
      <c r="C8" s="11">
        <f>I8/E85</f>
        <v>0.0151562248</v>
      </c>
      <c r="D8" s="35" t="s">
        <v>39</v>
      </c>
      <c r="E8" s="35" t="s">
        <v>40</v>
      </c>
      <c r="F8" s="36">
        <v>8.0</v>
      </c>
      <c r="G8" s="14">
        <v>2000.0</v>
      </c>
      <c r="H8" s="15">
        <f t="shared" si="1"/>
        <v>438780</v>
      </c>
      <c r="I8" s="15">
        <f t="shared" si="2"/>
        <v>469700</v>
      </c>
      <c r="J8" s="16">
        <v>219.39</v>
      </c>
      <c r="K8" s="17">
        <f>IFERROR(__xludf.DUMMYFUNCTION("GOOGLEFINANCE(E8,""changepct"")"),0.0)</f>
        <v>0</v>
      </c>
      <c r="L8" s="18">
        <f>IFERROR(__xludf.DUMMYFUNCTION("googlefinance(E8,""price"")"),234.85)</f>
        <v>234.85</v>
      </c>
      <c r="M8" s="19"/>
      <c r="N8" s="20">
        <f t="shared" si="3"/>
        <v>15.46</v>
      </c>
      <c r="O8" s="21">
        <f t="shared" si="4"/>
        <v>0.07046811614</v>
      </c>
      <c r="P8" s="15">
        <f t="shared" si="5"/>
        <v>30920</v>
      </c>
      <c r="Q8" s="28"/>
      <c r="R8" s="23"/>
      <c r="S8" s="22"/>
      <c r="T8" s="23"/>
      <c r="U8" s="23"/>
      <c r="V8" s="24"/>
      <c r="W8" s="25"/>
      <c r="X8" s="19"/>
      <c r="Y8" s="23"/>
      <c r="Z8" s="37"/>
      <c r="AA8" s="25"/>
      <c r="AB8" s="19"/>
      <c r="AC8" s="23"/>
    </row>
    <row r="9">
      <c r="A9" s="30"/>
      <c r="B9" s="24"/>
      <c r="C9" s="11">
        <f>I9/E85</f>
        <v>0.02548517425</v>
      </c>
      <c r="D9" s="38" t="s">
        <v>41</v>
      </c>
      <c r="E9" s="35" t="s">
        <v>42</v>
      </c>
      <c r="F9" s="36">
        <v>7.8</v>
      </c>
      <c r="G9" s="14">
        <v>10000.0</v>
      </c>
      <c r="H9" s="34">
        <v>725000.0</v>
      </c>
      <c r="I9" s="15">
        <f t="shared" si="2"/>
        <v>789800</v>
      </c>
      <c r="J9" s="16">
        <v>72.5</v>
      </c>
      <c r="K9" s="17">
        <f>IFERROR(__xludf.DUMMYFUNCTION("GOOGLEFINANCE(E9,""changepct"")"),0.0)</f>
        <v>0</v>
      </c>
      <c r="L9" s="18">
        <f>IFERROR(__xludf.DUMMYFUNCTION("googlefinance(E9,""price"")"),78.98)</f>
        <v>78.98</v>
      </c>
      <c r="M9" s="20"/>
      <c r="N9" s="20">
        <f t="shared" si="3"/>
        <v>6.48</v>
      </c>
      <c r="O9" s="21">
        <f t="shared" si="4"/>
        <v>0.08937931034</v>
      </c>
      <c r="P9" s="15">
        <f t="shared" si="5"/>
        <v>64800</v>
      </c>
      <c r="Q9" s="28"/>
      <c r="R9" s="23"/>
      <c r="S9" s="43"/>
      <c r="T9" s="34">
        <v>-23000.0</v>
      </c>
      <c r="U9" s="23"/>
      <c r="V9" s="24"/>
      <c r="W9" s="25"/>
      <c r="X9" s="19"/>
      <c r="Y9" s="23"/>
      <c r="Z9" s="26"/>
      <c r="AA9" s="25"/>
      <c r="AB9" s="19"/>
      <c r="AC9" s="23"/>
    </row>
    <row r="10">
      <c r="A10" s="30"/>
      <c r="B10" s="24"/>
      <c r="C10" s="11">
        <f>I10/E85</f>
        <v>0.01274258712</v>
      </c>
      <c r="D10" s="38" t="s">
        <v>43</v>
      </c>
      <c r="E10" s="35" t="s">
        <v>42</v>
      </c>
      <c r="F10" s="36">
        <v>7.8</v>
      </c>
      <c r="G10" s="32">
        <v>5000.0</v>
      </c>
      <c r="H10" s="15">
        <f t="shared" ref="H10:H23" si="6">G10*J10</f>
        <v>334500</v>
      </c>
      <c r="I10" s="15">
        <f t="shared" si="2"/>
        <v>394900</v>
      </c>
      <c r="J10" s="16">
        <v>66.9</v>
      </c>
      <c r="K10" s="17">
        <f>IFERROR(__xludf.DUMMYFUNCTION("GOOGLEFINANCE(E10,""changepct"")"),0.0)</f>
        <v>0</v>
      </c>
      <c r="L10" s="18">
        <f>IFERROR(__xludf.DUMMYFUNCTION("googlefinance(E10,""price"")"),78.98)</f>
        <v>78.98</v>
      </c>
      <c r="M10" s="19"/>
      <c r="N10" s="20">
        <f t="shared" si="3"/>
        <v>12.08</v>
      </c>
      <c r="O10" s="21">
        <f t="shared" si="4"/>
        <v>0.180568012</v>
      </c>
      <c r="P10" s="15">
        <f t="shared" si="5"/>
        <v>60400</v>
      </c>
      <c r="Q10" s="11"/>
      <c r="R10" s="15"/>
      <c r="S10" s="41" t="s">
        <v>44</v>
      </c>
      <c r="T10" s="42">
        <v>27000.0</v>
      </c>
      <c r="U10" s="23"/>
      <c r="V10" s="24"/>
      <c r="W10" s="25"/>
      <c r="X10" s="19"/>
      <c r="Y10" s="23"/>
      <c r="Z10" s="44" t="s">
        <v>42</v>
      </c>
      <c r="AA10" s="40">
        <v>45667.0</v>
      </c>
      <c r="AB10" s="41">
        <v>66.9</v>
      </c>
      <c r="AC10" s="42">
        <v>334500.0</v>
      </c>
    </row>
    <row r="11">
      <c r="A11" s="30"/>
      <c r="B11" s="24"/>
      <c r="C11" s="11">
        <f>I11/E85</f>
        <v>0.02761227312</v>
      </c>
      <c r="D11" s="35" t="s">
        <v>45</v>
      </c>
      <c r="E11" s="35" t="s">
        <v>46</v>
      </c>
      <c r="F11" s="36">
        <v>7.9</v>
      </c>
      <c r="G11" s="14">
        <v>6000.0</v>
      </c>
      <c r="H11" s="15">
        <f t="shared" si="6"/>
        <v>805740</v>
      </c>
      <c r="I11" s="15">
        <f t="shared" si="2"/>
        <v>855720</v>
      </c>
      <c r="J11" s="16">
        <v>134.29</v>
      </c>
      <c r="K11" s="17">
        <f>IFERROR(__xludf.DUMMYFUNCTION("GOOGLEFINANCE(E11,""changepct"")"),0.0)</f>
        <v>0</v>
      </c>
      <c r="L11" s="18">
        <f>IFERROR(__xludf.DUMMYFUNCTION("googlefinance(E11,""price"")"),142.62)</f>
        <v>142.62</v>
      </c>
      <c r="M11" s="19"/>
      <c r="N11" s="20">
        <f t="shared" si="3"/>
        <v>8.33</v>
      </c>
      <c r="O11" s="21">
        <f t="shared" si="4"/>
        <v>0.06202993521</v>
      </c>
      <c r="P11" s="15">
        <f t="shared" si="5"/>
        <v>49980</v>
      </c>
      <c r="Q11" s="11">
        <v>3.0E-4</v>
      </c>
      <c r="R11" s="15"/>
      <c r="S11" s="19"/>
      <c r="T11" s="23"/>
      <c r="U11" s="23"/>
      <c r="V11" s="24"/>
      <c r="W11" s="25"/>
      <c r="X11" s="19"/>
      <c r="Y11" s="23"/>
      <c r="Z11" s="26"/>
      <c r="AA11" s="25"/>
      <c r="AB11" s="19"/>
      <c r="AC11" s="23"/>
    </row>
    <row r="12">
      <c r="A12" s="30"/>
      <c r="B12" s="24"/>
      <c r="C12" s="11">
        <f>I12/E85</f>
        <v>0.009204091038</v>
      </c>
      <c r="D12" s="38" t="s">
        <v>47</v>
      </c>
      <c r="E12" s="35" t="s">
        <v>46</v>
      </c>
      <c r="F12" s="36">
        <v>7.9</v>
      </c>
      <c r="G12" s="32">
        <v>2000.0</v>
      </c>
      <c r="H12" s="15">
        <f t="shared" si="6"/>
        <v>264200</v>
      </c>
      <c r="I12" s="15">
        <f t="shared" si="2"/>
        <v>285240</v>
      </c>
      <c r="J12" s="16">
        <v>132.1</v>
      </c>
      <c r="K12" s="17">
        <f>IFERROR(__xludf.DUMMYFUNCTION("GOOGLEFINANCE(E12,""changepct"")"),0.0)</f>
        <v>0</v>
      </c>
      <c r="L12" s="18">
        <f>IFERROR(__xludf.DUMMYFUNCTION("googlefinance(E12,""price"")"),142.62)</f>
        <v>142.62</v>
      </c>
      <c r="M12" s="19"/>
      <c r="N12" s="20">
        <f t="shared" si="3"/>
        <v>10.52</v>
      </c>
      <c r="O12" s="21">
        <f t="shared" si="4"/>
        <v>0.07963663891</v>
      </c>
      <c r="P12" s="15">
        <f t="shared" si="5"/>
        <v>21040</v>
      </c>
      <c r="Q12" s="11"/>
      <c r="R12" s="15"/>
      <c r="S12" s="19"/>
      <c r="T12" s="23"/>
      <c r="U12" s="23"/>
      <c r="V12" s="24"/>
      <c r="W12" s="25"/>
      <c r="X12" s="19"/>
      <c r="Y12" s="23"/>
      <c r="Z12" s="44" t="s">
        <v>48</v>
      </c>
      <c r="AA12" s="40">
        <v>45670.0</v>
      </c>
      <c r="AB12" s="41">
        <v>132.1</v>
      </c>
      <c r="AC12" s="42">
        <v>264200.0</v>
      </c>
    </row>
    <row r="13">
      <c r="A13" s="30"/>
      <c r="B13" s="24"/>
      <c r="C13" s="11">
        <f>I13/E85</f>
        <v>0.01024505295</v>
      </c>
      <c r="D13" s="35" t="s">
        <v>49</v>
      </c>
      <c r="E13" s="35" t="s">
        <v>50</v>
      </c>
      <c r="F13" s="45">
        <v>7.9</v>
      </c>
      <c r="G13" s="14">
        <v>500.0</v>
      </c>
      <c r="H13" s="15">
        <f t="shared" si="6"/>
        <v>292755</v>
      </c>
      <c r="I13" s="15">
        <f t="shared" si="2"/>
        <v>317500</v>
      </c>
      <c r="J13" s="16">
        <v>585.51</v>
      </c>
      <c r="K13" s="17" t="str">
        <f>IFERROR(__xludf.DUMMYFUNCTION("GOOGLEFINANCE(E13,""changepct"")"),"#N/A")</f>
        <v>#N/A</v>
      </c>
      <c r="L13" s="46">
        <v>635.0</v>
      </c>
      <c r="M13" s="19"/>
      <c r="N13" s="20">
        <f t="shared" si="3"/>
        <v>49.49</v>
      </c>
      <c r="O13" s="21">
        <f t="shared" si="4"/>
        <v>0.08452460248</v>
      </c>
      <c r="P13" s="15">
        <f t="shared" si="5"/>
        <v>24745</v>
      </c>
      <c r="Q13" s="11">
        <v>0.0035</v>
      </c>
      <c r="R13" s="15"/>
      <c r="S13" s="19"/>
      <c r="T13" s="23"/>
      <c r="U13" s="23"/>
      <c r="V13" s="24"/>
      <c r="W13" s="25"/>
      <c r="X13" s="19"/>
      <c r="Y13" s="23"/>
      <c r="Z13" s="26"/>
      <c r="AA13" s="25"/>
      <c r="AB13" s="19"/>
      <c r="AC13" s="23"/>
    </row>
    <row r="14">
      <c r="A14" s="30"/>
      <c r="B14" s="24"/>
      <c r="C14" s="11">
        <f>I14/E85</f>
        <v>0.0366982637</v>
      </c>
      <c r="D14" s="35" t="s">
        <v>51</v>
      </c>
      <c r="E14" s="35" t="s">
        <v>52</v>
      </c>
      <c r="F14" s="36">
        <v>8.1</v>
      </c>
      <c r="G14" s="32">
        <v>10000.0</v>
      </c>
      <c r="H14" s="15">
        <f t="shared" si="6"/>
        <v>1152400</v>
      </c>
      <c r="I14" s="15">
        <f t="shared" si="2"/>
        <v>1137300</v>
      </c>
      <c r="J14" s="16">
        <v>115.24</v>
      </c>
      <c r="K14" s="17">
        <f>IFERROR(__xludf.DUMMYFUNCTION("GOOGLEFINANCE(E14,""changepct"")"),0.01)</f>
        <v>0.01</v>
      </c>
      <c r="L14" s="18">
        <f>IFERROR(__xludf.DUMMYFUNCTION("googlefinance(E14,""price"")"),113.73)</f>
        <v>113.73</v>
      </c>
      <c r="M14" s="19"/>
      <c r="N14" s="20">
        <f t="shared" si="3"/>
        <v>-1.51</v>
      </c>
      <c r="O14" s="21">
        <f t="shared" si="4"/>
        <v>-0.01310308921</v>
      </c>
      <c r="P14" s="15">
        <f t="shared" si="5"/>
        <v>-15100</v>
      </c>
      <c r="Q14" s="11">
        <v>0.015</v>
      </c>
      <c r="R14" s="15"/>
      <c r="S14" s="19"/>
      <c r="T14" s="23"/>
      <c r="U14" s="23"/>
      <c r="V14" s="24"/>
      <c r="W14" s="25"/>
      <c r="X14" s="19"/>
      <c r="Y14" s="23"/>
      <c r="Z14" s="26"/>
      <c r="AA14" s="25"/>
      <c r="AB14" s="19"/>
      <c r="AC14" s="23"/>
    </row>
    <row r="15">
      <c r="A15" s="30"/>
      <c r="B15" s="24"/>
      <c r="C15" s="11">
        <f>I15/E85</f>
        <v>0.00733965274</v>
      </c>
      <c r="D15" s="38" t="s">
        <v>53</v>
      </c>
      <c r="E15" s="35" t="s">
        <v>52</v>
      </c>
      <c r="F15" s="36">
        <v>8.1</v>
      </c>
      <c r="G15" s="32">
        <v>2000.0</v>
      </c>
      <c r="H15" s="15">
        <f t="shared" si="6"/>
        <v>219200</v>
      </c>
      <c r="I15" s="15">
        <f t="shared" si="2"/>
        <v>227460</v>
      </c>
      <c r="J15" s="16">
        <v>109.6</v>
      </c>
      <c r="K15" s="17">
        <f>IFERROR(__xludf.DUMMYFUNCTION("GOOGLEFINANCE(E15,""changepct"")"),0.01)</f>
        <v>0.01</v>
      </c>
      <c r="L15" s="18">
        <f>IFERROR(__xludf.DUMMYFUNCTION("googlefinance(E15,""price"")"),113.73)</f>
        <v>113.73</v>
      </c>
      <c r="M15" s="20"/>
      <c r="N15" s="20">
        <f t="shared" si="3"/>
        <v>4.13</v>
      </c>
      <c r="O15" s="21">
        <f t="shared" si="4"/>
        <v>0.03768248175</v>
      </c>
      <c r="P15" s="15">
        <f t="shared" si="5"/>
        <v>8260</v>
      </c>
      <c r="Q15" s="11"/>
      <c r="R15" s="23"/>
      <c r="S15" s="19"/>
      <c r="T15" s="23"/>
      <c r="U15" s="23"/>
      <c r="V15" s="12"/>
      <c r="W15" s="47"/>
      <c r="X15" s="20"/>
      <c r="Y15" s="15"/>
      <c r="Z15" s="44" t="s">
        <v>52</v>
      </c>
      <c r="AA15" s="40">
        <v>45670.0</v>
      </c>
      <c r="AB15" s="41">
        <v>109.6</v>
      </c>
      <c r="AC15" s="42">
        <v>219200.0</v>
      </c>
    </row>
    <row r="16">
      <c r="A16" s="30"/>
      <c r="B16" s="24"/>
      <c r="C16" s="11">
        <f>I16/E85</f>
        <v>0.03016608247</v>
      </c>
      <c r="D16" s="38" t="s">
        <v>54</v>
      </c>
      <c r="E16" s="38" t="s">
        <v>55</v>
      </c>
      <c r="F16" s="36">
        <v>8.0</v>
      </c>
      <c r="G16" s="32">
        <v>2800.0</v>
      </c>
      <c r="H16" s="15">
        <f t="shared" si="6"/>
        <v>936124</v>
      </c>
      <c r="I16" s="15">
        <f t="shared" si="2"/>
        <v>934864</v>
      </c>
      <c r="J16" s="16">
        <v>334.33</v>
      </c>
      <c r="K16" s="17">
        <f>IFERROR(__xludf.DUMMYFUNCTION("GOOGLEFINANCE(E16,""changepct"")"),0.0)</f>
        <v>0</v>
      </c>
      <c r="L16" s="18">
        <f>IFERROR(__xludf.DUMMYFUNCTION("googlefinance(E16,""price"")"),333.88)</f>
        <v>333.88</v>
      </c>
      <c r="M16" s="20"/>
      <c r="N16" s="20">
        <f t="shared" si="3"/>
        <v>-0.45</v>
      </c>
      <c r="O16" s="21">
        <f t="shared" si="4"/>
        <v>-0.001345975533</v>
      </c>
      <c r="P16" s="15">
        <f t="shared" si="5"/>
        <v>-1260</v>
      </c>
      <c r="Q16" s="11">
        <v>0.0043</v>
      </c>
      <c r="R16" s="23"/>
      <c r="S16" s="19"/>
      <c r="T16" s="23"/>
      <c r="U16" s="23"/>
      <c r="V16" s="12"/>
      <c r="W16" s="47"/>
      <c r="X16" s="20"/>
      <c r="Y16" s="15"/>
      <c r="Z16" s="26"/>
      <c r="AA16" s="25"/>
      <c r="AB16" s="19"/>
      <c r="AC16" s="23"/>
    </row>
    <row r="17">
      <c r="A17" s="30"/>
      <c r="B17" s="24"/>
      <c r="C17" s="11">
        <f>I17/E85</f>
        <v>0.009364301079</v>
      </c>
      <c r="D17" s="35" t="s">
        <v>56</v>
      </c>
      <c r="E17" s="35" t="s">
        <v>57</v>
      </c>
      <c r="F17" s="36">
        <v>7.8</v>
      </c>
      <c r="G17" s="32">
        <v>1500.0</v>
      </c>
      <c r="H17" s="15">
        <f t="shared" si="6"/>
        <v>270615</v>
      </c>
      <c r="I17" s="15">
        <f t="shared" si="2"/>
        <v>290205</v>
      </c>
      <c r="J17" s="16">
        <v>180.41</v>
      </c>
      <c r="K17" s="17">
        <f>IFERROR(__xludf.DUMMYFUNCTION("GOOGLEFINANCE(E17,""changepct"")"),0.0)</f>
        <v>0</v>
      </c>
      <c r="L17" s="18">
        <f>IFERROR(__xludf.DUMMYFUNCTION("googlefinance(E17,""price"")"),193.47)</f>
        <v>193.47</v>
      </c>
      <c r="M17" s="20"/>
      <c r="N17" s="20">
        <f t="shared" si="3"/>
        <v>13.06</v>
      </c>
      <c r="O17" s="21">
        <f t="shared" si="4"/>
        <v>0.07239066571</v>
      </c>
      <c r="P17" s="15">
        <f t="shared" si="5"/>
        <v>19590</v>
      </c>
      <c r="Q17" s="28"/>
      <c r="R17" s="23"/>
      <c r="S17" s="19"/>
      <c r="T17" s="23"/>
      <c r="U17" s="23"/>
      <c r="V17" s="12"/>
      <c r="W17" s="47"/>
      <c r="X17" s="20"/>
      <c r="Y17" s="15"/>
      <c r="Z17" s="12"/>
      <c r="AA17" s="47"/>
      <c r="AB17" s="20"/>
      <c r="AC17" s="15"/>
    </row>
    <row r="18">
      <c r="A18" s="30"/>
      <c r="B18" s="24"/>
      <c r="C18" s="11">
        <f>I18/E85</f>
        <v>0.008601972336</v>
      </c>
      <c r="D18" s="12" t="s">
        <v>58</v>
      </c>
      <c r="E18" s="12" t="s">
        <v>58</v>
      </c>
      <c r="F18" s="31">
        <v>7.8</v>
      </c>
      <c r="G18" s="32">
        <v>3000.0</v>
      </c>
      <c r="H18" s="15">
        <f t="shared" si="6"/>
        <v>236400</v>
      </c>
      <c r="I18" s="15">
        <f t="shared" si="2"/>
        <v>266580</v>
      </c>
      <c r="J18" s="16">
        <v>78.8</v>
      </c>
      <c r="K18" s="17">
        <f>IFERROR(__xludf.DUMMYFUNCTION("GOOGLEFINANCE(E18,""changepct"")"),0.0)</f>
        <v>0</v>
      </c>
      <c r="L18" s="18">
        <f>IFERROR(__xludf.DUMMYFUNCTION("googlefinance(E18,""price"")"),88.86)</f>
        <v>88.86</v>
      </c>
      <c r="M18" s="20"/>
      <c r="N18" s="20">
        <f t="shared" si="3"/>
        <v>10.06</v>
      </c>
      <c r="O18" s="21">
        <f t="shared" si="4"/>
        <v>0.1276649746</v>
      </c>
      <c r="P18" s="15">
        <f t="shared" si="5"/>
        <v>30180</v>
      </c>
      <c r="Q18" s="28"/>
      <c r="R18" s="23"/>
      <c r="S18" s="19"/>
      <c r="T18" s="23"/>
      <c r="U18" s="23"/>
      <c r="V18" s="12"/>
      <c r="W18" s="47"/>
      <c r="X18" s="20"/>
      <c r="Y18" s="15"/>
      <c r="Z18" s="12"/>
      <c r="AA18" s="47"/>
      <c r="AB18" s="20"/>
      <c r="AC18" s="15"/>
    </row>
    <row r="19">
      <c r="A19" s="30"/>
      <c r="B19" s="24"/>
      <c r="C19" s="11">
        <f>I19/E85</f>
        <v>0.04442900319</v>
      </c>
      <c r="D19" s="38" t="s">
        <v>59</v>
      </c>
      <c r="E19" s="35" t="s">
        <v>60</v>
      </c>
      <c r="F19" s="45">
        <v>8.0</v>
      </c>
      <c r="G19" s="32">
        <v>8000.0</v>
      </c>
      <c r="H19" s="15">
        <f t="shared" si="6"/>
        <v>1228960</v>
      </c>
      <c r="I19" s="15">
        <f t="shared" si="2"/>
        <v>1376880</v>
      </c>
      <c r="J19" s="16">
        <v>153.62</v>
      </c>
      <c r="K19" s="17">
        <f>IFERROR(__xludf.DUMMYFUNCTION("GOOGLEFINANCE(E19,""changepct"")"),0.0)</f>
        <v>0</v>
      </c>
      <c r="L19" s="18">
        <f>IFERROR(__xludf.DUMMYFUNCTION("googlefinance(E19,""price"")"),172.11)</f>
        <v>172.11</v>
      </c>
      <c r="M19" s="19"/>
      <c r="N19" s="20">
        <f t="shared" si="3"/>
        <v>18.49</v>
      </c>
      <c r="O19" s="21">
        <f t="shared" si="4"/>
        <v>0.120361932</v>
      </c>
      <c r="P19" s="15">
        <f t="shared" si="5"/>
        <v>147920</v>
      </c>
      <c r="Q19" s="11">
        <v>0.02</v>
      </c>
      <c r="R19" s="15"/>
      <c r="S19" s="19"/>
      <c r="T19" s="23"/>
      <c r="U19" s="23"/>
      <c r="V19" s="24"/>
      <c r="W19" s="25"/>
      <c r="X19" s="19"/>
      <c r="Y19" s="23"/>
      <c r="Z19" s="12"/>
      <c r="AA19" s="47"/>
      <c r="AB19" s="20"/>
      <c r="AC19" s="15"/>
    </row>
    <row r="20">
      <c r="A20" s="30"/>
      <c r="B20" s="24"/>
      <c r="C20" s="11">
        <f>I20/E85</f>
        <v>0.01772111817</v>
      </c>
      <c r="D20" s="35" t="s">
        <v>61</v>
      </c>
      <c r="E20" s="35" t="s">
        <v>62</v>
      </c>
      <c r="F20" s="36">
        <v>7.8</v>
      </c>
      <c r="G20" s="32">
        <v>750.0</v>
      </c>
      <c r="H20" s="15">
        <f t="shared" si="6"/>
        <v>519810</v>
      </c>
      <c r="I20" s="15">
        <f t="shared" si="2"/>
        <v>549187.5</v>
      </c>
      <c r="J20" s="16">
        <v>693.08</v>
      </c>
      <c r="K20" s="17">
        <f>IFERROR(__xludf.DUMMYFUNCTION("GOOGLEFINANCE(E20,""changepct"")"),0.0)</f>
        <v>0</v>
      </c>
      <c r="L20" s="18">
        <f>IFERROR(__xludf.DUMMYFUNCTION("googlefinance(E20,""price"")"),732.25)</f>
        <v>732.25</v>
      </c>
      <c r="M20" s="19"/>
      <c r="N20" s="20">
        <f t="shared" si="3"/>
        <v>39.17</v>
      </c>
      <c r="O20" s="21">
        <f t="shared" si="4"/>
        <v>0.05651584233</v>
      </c>
      <c r="P20" s="15">
        <f t="shared" si="5"/>
        <v>29377.5</v>
      </c>
      <c r="Q20" s="11">
        <v>0.01</v>
      </c>
      <c r="R20" s="23"/>
      <c r="S20" s="19"/>
      <c r="T20" s="23"/>
      <c r="U20" s="23"/>
      <c r="V20" s="24"/>
      <c r="W20" s="25"/>
      <c r="X20" s="19"/>
      <c r="Y20" s="23"/>
      <c r="Z20" s="12"/>
      <c r="AA20" s="47"/>
      <c r="AB20" s="20"/>
      <c r="AC20" s="15"/>
    </row>
    <row r="21">
      <c r="A21" s="30"/>
      <c r="B21" s="24"/>
      <c r="C21" s="11">
        <f>I21/E85</f>
        <v>0.02989296711</v>
      </c>
      <c r="D21" s="35" t="s">
        <v>63</v>
      </c>
      <c r="E21" s="35" t="s">
        <v>64</v>
      </c>
      <c r="F21" s="36">
        <v>8.0</v>
      </c>
      <c r="G21" s="32">
        <v>40000.0</v>
      </c>
      <c r="H21" s="15">
        <f t="shared" si="6"/>
        <v>888000</v>
      </c>
      <c r="I21" s="15">
        <f t="shared" si="2"/>
        <v>926400</v>
      </c>
      <c r="J21" s="16">
        <v>22.2</v>
      </c>
      <c r="K21" s="17">
        <f>IFERROR(__xludf.DUMMYFUNCTION("GOOGLEFINANCE(E21,""changepct"")"),0.0)</f>
        <v>0</v>
      </c>
      <c r="L21" s="18">
        <f>IFERROR(__xludf.DUMMYFUNCTION("googlefinance(E21,""price"")"),23.16)</f>
        <v>23.16</v>
      </c>
      <c r="M21" s="19"/>
      <c r="N21" s="20">
        <f t="shared" si="3"/>
        <v>0.96</v>
      </c>
      <c r="O21" s="21">
        <f t="shared" si="4"/>
        <v>0.04324324324</v>
      </c>
      <c r="P21" s="15">
        <f t="shared" si="5"/>
        <v>38400</v>
      </c>
      <c r="Q21" s="28"/>
      <c r="R21" s="23"/>
      <c r="S21" s="19"/>
      <c r="T21" s="23"/>
      <c r="U21" s="23"/>
      <c r="V21" s="24"/>
      <c r="W21" s="25"/>
      <c r="X21" s="19"/>
      <c r="Y21" s="23"/>
      <c r="Z21" s="12"/>
      <c r="AA21" s="47"/>
      <c r="AB21" s="20"/>
      <c r="AC21" s="15"/>
    </row>
    <row r="22">
      <c r="A22" s="30"/>
      <c r="B22" s="24"/>
      <c r="C22" s="11">
        <f>I22/E85</f>
        <v>0.02811177995</v>
      </c>
      <c r="D22" s="35" t="s">
        <v>65</v>
      </c>
      <c r="E22" s="35" t="s">
        <v>66</v>
      </c>
      <c r="F22" s="36">
        <v>7.9</v>
      </c>
      <c r="G22" s="32">
        <v>80000.0</v>
      </c>
      <c r="H22" s="15">
        <f t="shared" si="6"/>
        <v>861600</v>
      </c>
      <c r="I22" s="15">
        <f t="shared" si="2"/>
        <v>871200</v>
      </c>
      <c r="J22" s="16">
        <v>10.77</v>
      </c>
      <c r="K22" s="17">
        <f>IFERROR(__xludf.DUMMYFUNCTION("GOOGLEFINANCE(E22,""changepct"")"),-0.09)</f>
        <v>-0.09</v>
      </c>
      <c r="L22" s="18">
        <f>IFERROR(__xludf.DUMMYFUNCTION("googlefinance(E22,""price"")"),10.89)</f>
        <v>10.89</v>
      </c>
      <c r="M22" s="19"/>
      <c r="N22" s="20">
        <f t="shared" si="3"/>
        <v>0.12</v>
      </c>
      <c r="O22" s="21">
        <f t="shared" si="4"/>
        <v>0.01114206128</v>
      </c>
      <c r="P22" s="15">
        <f t="shared" si="5"/>
        <v>9600</v>
      </c>
      <c r="Q22" s="28"/>
      <c r="R22" s="23"/>
      <c r="S22" s="41"/>
      <c r="T22" s="42">
        <v>9000.0</v>
      </c>
      <c r="U22" s="23"/>
      <c r="V22" s="24"/>
      <c r="W22" s="25"/>
      <c r="X22" s="19"/>
      <c r="Y22" s="23"/>
      <c r="Z22" s="26"/>
      <c r="AA22" s="25"/>
      <c r="AB22" s="19"/>
      <c r="AC22" s="23"/>
    </row>
    <row r="23">
      <c r="A23" s="48"/>
      <c r="B23" s="49"/>
      <c r="C23" s="50">
        <f>I23/E85</f>
        <v>0</v>
      </c>
      <c r="D23" s="35" t="s">
        <v>65</v>
      </c>
      <c r="E23" s="35" t="s">
        <v>66</v>
      </c>
      <c r="F23" s="36">
        <v>7.9</v>
      </c>
      <c r="G23" s="51">
        <v>20000.0</v>
      </c>
      <c r="H23" s="15">
        <f t="shared" si="6"/>
        <v>215400</v>
      </c>
      <c r="I23" s="34">
        <v>0.0</v>
      </c>
      <c r="J23" s="33">
        <v>10.77</v>
      </c>
      <c r="K23" s="17">
        <f>IFERROR(__xludf.DUMMYFUNCTION("GOOGLEFINANCE(E23,""changepct"")"),-0.09)</f>
        <v>-0.09</v>
      </c>
      <c r="L23" s="18">
        <f>IFERROR(__xludf.DUMMYFUNCTION("googlefinance(E23,""price"")"),10.89)</f>
        <v>10.89</v>
      </c>
      <c r="M23" s="33">
        <v>12.9</v>
      </c>
      <c r="N23" s="20">
        <f t="shared" si="3"/>
        <v>0.12</v>
      </c>
      <c r="O23" s="21">
        <f>M23/J23-1</f>
        <v>0.1977715877</v>
      </c>
      <c r="P23" s="15">
        <f t="shared" si="5"/>
        <v>42600</v>
      </c>
      <c r="Q23" s="52"/>
      <c r="R23" s="53"/>
      <c r="S23" s="49"/>
      <c r="T23" s="53"/>
      <c r="U23" s="53"/>
      <c r="V23" s="38" t="s">
        <v>66</v>
      </c>
      <c r="W23" s="54">
        <v>45667.0</v>
      </c>
      <c r="X23" s="33">
        <v>12.9</v>
      </c>
      <c r="Y23" s="55">
        <v>258000.0</v>
      </c>
      <c r="Z23" s="35"/>
      <c r="AA23" s="49"/>
      <c r="AB23" s="22"/>
      <c r="AC23" s="53"/>
    </row>
    <row r="24">
      <c r="A24" s="56"/>
      <c r="B24" s="57"/>
      <c r="C24" s="4" t="s">
        <v>67</v>
      </c>
      <c r="D24" s="57"/>
      <c r="E24" s="57"/>
      <c r="F24" s="57"/>
      <c r="G24" s="58"/>
      <c r="H24" s="59">
        <f t="shared" ref="H24:I24" si="7">SUM(H3:H22)</f>
        <v>16676634</v>
      </c>
      <c r="I24" s="60">
        <f t="shared" si="7"/>
        <v>17320816.5</v>
      </c>
      <c r="J24" s="61"/>
      <c r="K24" s="61"/>
      <c r="L24" s="61"/>
      <c r="M24" s="57"/>
      <c r="N24" s="57"/>
      <c r="O24" s="62">
        <f>(P24+T24+U24+R24)/I24</f>
        <v>0.03867499549</v>
      </c>
      <c r="P24" s="60">
        <f>SUM(P3:P22)</f>
        <v>644182.5</v>
      </c>
      <c r="Q24" s="63"/>
      <c r="R24" s="59">
        <f>SUM(R3:R22)</f>
        <v>0</v>
      </c>
      <c r="S24" s="57"/>
      <c r="T24" s="59">
        <f>SUM(T3:T23)</f>
        <v>25700</v>
      </c>
      <c r="U24" s="59">
        <f>SUM(U3:U22)</f>
        <v>0</v>
      </c>
      <c r="V24" s="4"/>
      <c r="W24" s="57"/>
      <c r="X24" s="61"/>
      <c r="Y24" s="59">
        <f>SUM(Y3:Y23)</f>
        <v>258000</v>
      </c>
      <c r="Z24" s="4" t="s">
        <v>67</v>
      </c>
      <c r="AA24" s="57"/>
      <c r="AB24" s="61"/>
      <c r="AC24" s="59">
        <f>SUM(AC3:AC22)</f>
        <v>1051100</v>
      </c>
    </row>
    <row r="25">
      <c r="A25" s="56"/>
      <c r="B25" s="4" t="s">
        <v>68</v>
      </c>
      <c r="C25" s="4" t="s">
        <v>2</v>
      </c>
      <c r="D25" s="4" t="s">
        <v>3</v>
      </c>
      <c r="E25" s="4" t="s">
        <v>4</v>
      </c>
      <c r="F25" s="4" t="s">
        <v>5</v>
      </c>
      <c r="G25" s="4" t="s">
        <v>6</v>
      </c>
      <c r="H25" s="4" t="s">
        <v>7</v>
      </c>
      <c r="I25" s="5" t="s">
        <v>8</v>
      </c>
      <c r="J25" s="5" t="s">
        <v>9</v>
      </c>
      <c r="K25" s="6" t="s">
        <v>10</v>
      </c>
      <c r="L25" s="6" t="s">
        <v>11</v>
      </c>
      <c r="M25" s="7" t="s">
        <v>12</v>
      </c>
      <c r="N25" s="7" t="s">
        <v>13</v>
      </c>
      <c r="O25" s="4" t="s">
        <v>14</v>
      </c>
      <c r="P25" s="7" t="s">
        <v>15</v>
      </c>
      <c r="Q25" s="4" t="s">
        <v>16</v>
      </c>
      <c r="R25" s="4" t="s">
        <v>17</v>
      </c>
      <c r="S25" s="7" t="s">
        <v>18</v>
      </c>
      <c r="T25" s="4" t="s">
        <v>19</v>
      </c>
      <c r="U25" s="4" t="s">
        <v>69</v>
      </c>
      <c r="V25" s="4" t="s">
        <v>21</v>
      </c>
      <c r="W25" s="4" t="s">
        <v>22</v>
      </c>
      <c r="X25" s="9" t="s">
        <v>23</v>
      </c>
      <c r="Y25" s="9" t="s">
        <v>24</v>
      </c>
      <c r="Z25" s="4" t="s">
        <v>25</v>
      </c>
      <c r="AA25" s="4" t="s">
        <v>26</v>
      </c>
      <c r="AB25" s="4" t="s">
        <v>27</v>
      </c>
      <c r="AC25" s="4" t="s">
        <v>28</v>
      </c>
    </row>
    <row r="26">
      <c r="A26" s="64" t="s">
        <v>29</v>
      </c>
      <c r="B26" s="65">
        <f>I33/E85</f>
        <v>0.04370200778</v>
      </c>
      <c r="C26" s="66">
        <f>I26/E85</f>
        <v>0.01160353084</v>
      </c>
      <c r="D26" s="67" t="s">
        <v>70</v>
      </c>
      <c r="E26" s="67" t="s">
        <v>71</v>
      </c>
      <c r="F26" s="31">
        <v>7.7</v>
      </c>
      <c r="G26" s="68">
        <v>10000.0</v>
      </c>
      <c r="H26" s="15">
        <f t="shared" ref="H26:H32" si="8">J26*G26</f>
        <v>327300</v>
      </c>
      <c r="I26" s="15">
        <f>H26+P26</f>
        <v>359600</v>
      </c>
      <c r="J26" s="69">
        <v>32.73</v>
      </c>
      <c r="K26" s="17">
        <f>IFERROR(__xludf.DUMMYFUNCTION("GOOGLEFINANCE(E26,""changepct"")"),0.0)</f>
        <v>0</v>
      </c>
      <c r="L26" s="20">
        <f>IFERROR(__xludf.DUMMYFUNCTION("googlefinance(E26,""price"")"),35.96)</f>
        <v>35.96</v>
      </c>
      <c r="M26" s="70"/>
      <c r="N26" s="20">
        <f t="shared" ref="N26:N32" si="9">L26-J26</f>
        <v>3.23</v>
      </c>
      <c r="O26" s="21">
        <f>L26/J26-1</f>
        <v>0.09868622059</v>
      </c>
      <c r="P26" s="15">
        <f t="shared" ref="P26:P32" si="10">H26*O26</f>
        <v>32300</v>
      </c>
      <c r="Q26" s="66">
        <v>0.052</v>
      </c>
      <c r="R26" s="23"/>
      <c r="S26" s="19"/>
      <c r="T26" s="23"/>
      <c r="U26" s="24"/>
      <c r="V26" s="12"/>
      <c r="W26" s="47"/>
      <c r="X26" s="20"/>
      <c r="Y26" s="15"/>
      <c r="Z26" s="26"/>
      <c r="AA26" s="24"/>
      <c r="AB26" s="19"/>
      <c r="AC26" s="23"/>
    </row>
    <row r="27">
      <c r="A27" s="48"/>
      <c r="B27" s="49"/>
      <c r="C27" s="66">
        <f>I27/E85</f>
        <v>0</v>
      </c>
      <c r="D27" s="67" t="s">
        <v>70</v>
      </c>
      <c r="E27" s="67" t="s">
        <v>71</v>
      </c>
      <c r="F27" s="31">
        <v>7.7</v>
      </c>
      <c r="G27" s="68">
        <v>10000.0</v>
      </c>
      <c r="H27" s="15">
        <f t="shared" si="8"/>
        <v>327300</v>
      </c>
      <c r="I27" s="34">
        <v>0.0</v>
      </c>
      <c r="J27" s="69">
        <v>32.73</v>
      </c>
      <c r="K27" s="17">
        <f>IFERROR(__xludf.DUMMYFUNCTION("GOOGLEFINANCE(E27,""changepct"")"),0.0)</f>
        <v>0</v>
      </c>
      <c r="L27" s="20">
        <f>IFERROR(__xludf.DUMMYFUNCTION("googlefinance(E27,""price"")"),35.96)</f>
        <v>35.96</v>
      </c>
      <c r="M27" s="33">
        <v>36.96</v>
      </c>
      <c r="N27" s="20">
        <f t="shared" si="9"/>
        <v>3.23</v>
      </c>
      <c r="O27" s="21">
        <f>M27/J27-1</f>
        <v>0.1292392301</v>
      </c>
      <c r="P27" s="15">
        <f t="shared" si="10"/>
        <v>42300</v>
      </c>
      <c r="Q27" s="66">
        <v>0.052</v>
      </c>
      <c r="R27" s="71"/>
      <c r="S27" s="49"/>
      <c r="T27" s="71"/>
      <c r="U27" s="49"/>
      <c r="V27" s="39" t="s">
        <v>71</v>
      </c>
      <c r="W27" s="54">
        <v>45670.0</v>
      </c>
      <c r="X27" s="33">
        <v>36.96</v>
      </c>
      <c r="Y27" s="72">
        <v>369600.0</v>
      </c>
      <c r="Z27" s="37"/>
      <c r="AA27" s="73"/>
      <c r="AB27" s="22"/>
      <c r="AC27" s="71"/>
    </row>
    <row r="28">
      <c r="A28" s="48"/>
      <c r="B28" s="49"/>
      <c r="C28" s="66">
        <f>I28/E85</f>
        <v>0.0136331807</v>
      </c>
      <c r="D28" s="67" t="s">
        <v>72</v>
      </c>
      <c r="E28" s="67" t="s">
        <v>73</v>
      </c>
      <c r="F28" s="31">
        <v>7.8</v>
      </c>
      <c r="G28" s="68">
        <v>10000.0</v>
      </c>
      <c r="H28" s="15">
        <f t="shared" si="8"/>
        <v>383400</v>
      </c>
      <c r="I28" s="15">
        <f t="shared" ref="I28:I29" si="11">H28+P28</f>
        <v>422500</v>
      </c>
      <c r="J28" s="69">
        <v>38.34</v>
      </c>
      <c r="K28" s="17">
        <f>IFERROR(__xludf.DUMMYFUNCTION("GOOGLEFINANCE(E28,""changepct"")"),0.0)</f>
        <v>0</v>
      </c>
      <c r="L28" s="20">
        <f>IFERROR(__xludf.DUMMYFUNCTION("googlefinance(E28,""price"")"),42.25)</f>
        <v>42.25</v>
      </c>
      <c r="M28" s="22"/>
      <c r="N28" s="20">
        <f t="shared" si="9"/>
        <v>3.91</v>
      </c>
      <c r="O28" s="21">
        <f t="shared" ref="O28:O29" si="12">L28/J28-1</f>
        <v>0.101982264</v>
      </c>
      <c r="P28" s="15">
        <f t="shared" si="10"/>
        <v>39100</v>
      </c>
      <c r="Q28" s="66">
        <v>0.026</v>
      </c>
      <c r="R28" s="71"/>
      <c r="S28" s="49"/>
      <c r="T28" s="71"/>
      <c r="U28" s="49"/>
      <c r="V28" s="37"/>
      <c r="W28" s="73"/>
      <c r="X28" s="22"/>
      <c r="Y28" s="71"/>
      <c r="Z28" s="37"/>
      <c r="AA28" s="73"/>
      <c r="AB28" s="22"/>
      <c r="AC28" s="71"/>
    </row>
    <row r="29">
      <c r="A29" s="48"/>
      <c r="B29" s="49"/>
      <c r="C29" s="66">
        <f>I29/E85</f>
        <v>0.006816590352</v>
      </c>
      <c r="D29" s="67" t="s">
        <v>72</v>
      </c>
      <c r="E29" s="67" t="s">
        <v>73</v>
      </c>
      <c r="F29" s="31">
        <v>7.8</v>
      </c>
      <c r="G29" s="68">
        <v>5000.0</v>
      </c>
      <c r="H29" s="15">
        <f t="shared" si="8"/>
        <v>209500</v>
      </c>
      <c r="I29" s="15">
        <f t="shared" si="11"/>
        <v>211250</v>
      </c>
      <c r="J29" s="69">
        <v>41.9</v>
      </c>
      <c r="K29" s="17">
        <f>IFERROR(__xludf.DUMMYFUNCTION("GOOGLEFINANCE(E29,""changepct"")"),0.0)</f>
        <v>0</v>
      </c>
      <c r="L29" s="20">
        <f>IFERROR(__xludf.DUMMYFUNCTION("googlefinance(E29,""price"")"),42.25)</f>
        <v>42.25</v>
      </c>
      <c r="M29" s="33"/>
      <c r="N29" s="20">
        <f t="shared" si="9"/>
        <v>0.35</v>
      </c>
      <c r="O29" s="21">
        <f t="shared" si="12"/>
        <v>0.008353221957</v>
      </c>
      <c r="P29" s="15">
        <f t="shared" si="10"/>
        <v>1750</v>
      </c>
      <c r="Q29" s="66">
        <v>0.026</v>
      </c>
      <c r="R29" s="74"/>
      <c r="S29" s="49"/>
      <c r="T29" s="71"/>
      <c r="U29" s="49"/>
      <c r="V29" s="39"/>
      <c r="W29" s="54"/>
      <c r="X29" s="33"/>
      <c r="Y29" s="72"/>
      <c r="Z29" s="39" t="s">
        <v>73</v>
      </c>
      <c r="AA29" s="54">
        <v>45674.0</v>
      </c>
      <c r="AB29" s="33">
        <v>41.9</v>
      </c>
      <c r="AC29" s="72">
        <v>209500.0</v>
      </c>
    </row>
    <row r="30">
      <c r="A30" s="48"/>
      <c r="B30" s="49"/>
      <c r="C30" s="66">
        <f>I30/E85</f>
        <v>0</v>
      </c>
      <c r="D30" s="67" t="s">
        <v>72</v>
      </c>
      <c r="E30" s="67" t="s">
        <v>73</v>
      </c>
      <c r="F30" s="31">
        <v>7.8</v>
      </c>
      <c r="G30" s="68">
        <v>4000.0</v>
      </c>
      <c r="H30" s="15">
        <f t="shared" si="8"/>
        <v>153360</v>
      </c>
      <c r="I30" s="34">
        <v>0.0</v>
      </c>
      <c r="J30" s="69">
        <v>38.34</v>
      </c>
      <c r="K30" s="17">
        <f>IFERROR(__xludf.DUMMYFUNCTION("GOOGLEFINANCE(E30,""changepct"")"),0.0)</f>
        <v>0</v>
      </c>
      <c r="L30" s="20">
        <f>IFERROR(__xludf.DUMMYFUNCTION("googlefinance(E30,""price"")"),42.25)</f>
        <v>42.25</v>
      </c>
      <c r="M30" s="33">
        <v>39.8</v>
      </c>
      <c r="N30" s="20">
        <f t="shared" si="9"/>
        <v>3.91</v>
      </c>
      <c r="O30" s="21">
        <f>M30/J30-1</f>
        <v>0.03808033385</v>
      </c>
      <c r="P30" s="15">
        <f t="shared" si="10"/>
        <v>5840</v>
      </c>
      <c r="Q30" s="66">
        <v>0.026</v>
      </c>
      <c r="R30" s="74"/>
      <c r="S30" s="49"/>
      <c r="T30" s="71"/>
      <c r="U30" s="49"/>
      <c r="V30" s="39" t="s">
        <v>73</v>
      </c>
      <c r="W30" s="54">
        <v>45670.0</v>
      </c>
      <c r="X30" s="33">
        <v>39.8</v>
      </c>
      <c r="Y30" s="72">
        <v>159200.0</v>
      </c>
      <c r="Z30" s="37"/>
      <c r="AA30" s="73"/>
      <c r="AB30" s="22"/>
      <c r="AC30" s="71"/>
    </row>
    <row r="31">
      <c r="A31" s="48"/>
      <c r="B31" s="49"/>
      <c r="C31" s="66">
        <f>I31/E85</f>
        <v>0.01164870588</v>
      </c>
      <c r="D31" s="67" t="s">
        <v>74</v>
      </c>
      <c r="E31" s="67" t="s">
        <v>75</v>
      </c>
      <c r="F31" s="31">
        <v>7.7</v>
      </c>
      <c r="G31" s="68">
        <v>2500.0</v>
      </c>
      <c r="H31" s="15">
        <f t="shared" si="8"/>
        <v>332525</v>
      </c>
      <c r="I31" s="15">
        <f>H31+P31</f>
        <v>361000</v>
      </c>
      <c r="J31" s="69">
        <v>133.01</v>
      </c>
      <c r="K31" s="17">
        <f>IFERROR(__xludf.DUMMYFUNCTION("GOOGLEFINANCE(E31,""changepct"")"),0.0)</f>
        <v>0</v>
      </c>
      <c r="L31" s="20">
        <f>IFERROR(__xludf.DUMMYFUNCTION("googlefinance(E31,""price"")"),144.4)</f>
        <v>144.4</v>
      </c>
      <c r="M31" s="22"/>
      <c r="N31" s="20">
        <f t="shared" si="9"/>
        <v>11.39</v>
      </c>
      <c r="O31" s="21">
        <f>L31/J31-1</f>
        <v>0.0856326592</v>
      </c>
      <c r="P31" s="15">
        <f t="shared" si="10"/>
        <v>28475</v>
      </c>
      <c r="Q31" s="66">
        <v>0.015</v>
      </c>
      <c r="R31" s="74"/>
      <c r="S31" s="49"/>
      <c r="T31" s="71"/>
      <c r="U31" s="49"/>
      <c r="V31" s="37"/>
      <c r="W31" s="73"/>
      <c r="X31" s="22"/>
      <c r="Y31" s="71"/>
      <c r="Z31" s="37"/>
      <c r="AA31" s="73"/>
      <c r="AB31" s="22"/>
      <c r="AC31" s="71"/>
    </row>
    <row r="32">
      <c r="A32" s="48"/>
      <c r="B32" s="49"/>
      <c r="C32" s="66">
        <f>I32/E85</f>
        <v>0</v>
      </c>
      <c r="D32" s="67" t="s">
        <v>74</v>
      </c>
      <c r="E32" s="67" t="s">
        <v>75</v>
      </c>
      <c r="F32" s="31">
        <v>7.7</v>
      </c>
      <c r="G32" s="68">
        <v>2500.0</v>
      </c>
      <c r="H32" s="15">
        <f t="shared" si="8"/>
        <v>332525</v>
      </c>
      <c r="I32" s="34">
        <v>0.0</v>
      </c>
      <c r="J32" s="69">
        <v>133.01</v>
      </c>
      <c r="K32" s="17">
        <f>IFERROR(__xludf.DUMMYFUNCTION("GOOGLEFINANCE(E32,""changepct"")"),0.0)</f>
        <v>0</v>
      </c>
      <c r="L32" s="20">
        <f>IFERROR(__xludf.DUMMYFUNCTION("googlefinance(E32,""price"")"),144.4)</f>
        <v>144.4</v>
      </c>
      <c r="M32" s="33">
        <v>145.35</v>
      </c>
      <c r="N32" s="20">
        <f t="shared" si="9"/>
        <v>11.39</v>
      </c>
      <c r="O32" s="21">
        <f>M32/J32-1</f>
        <v>0.09277497932</v>
      </c>
      <c r="P32" s="15">
        <f t="shared" si="10"/>
        <v>30850</v>
      </c>
      <c r="Q32" s="66">
        <v>0.015</v>
      </c>
      <c r="R32" s="74"/>
      <c r="S32" s="49"/>
      <c r="T32" s="71"/>
      <c r="U32" s="49"/>
      <c r="V32" s="39" t="s">
        <v>75</v>
      </c>
      <c r="W32" s="54">
        <v>45670.0</v>
      </c>
      <c r="X32" s="33">
        <v>145.35</v>
      </c>
      <c r="Y32" s="72">
        <v>363375.0</v>
      </c>
      <c r="Z32" s="37"/>
      <c r="AA32" s="73"/>
      <c r="AB32" s="22"/>
      <c r="AC32" s="71"/>
    </row>
    <row r="33">
      <c r="A33" s="56"/>
      <c r="B33" s="57"/>
      <c r="C33" s="4" t="s">
        <v>67</v>
      </c>
      <c r="D33" s="57"/>
      <c r="E33" s="57"/>
      <c r="F33" s="57"/>
      <c r="G33" s="75"/>
      <c r="H33" s="59">
        <f t="shared" ref="H33:I33" si="13">SUM(H26:H32)</f>
        <v>2065910</v>
      </c>
      <c r="I33" s="60">
        <f t="shared" si="13"/>
        <v>1354350</v>
      </c>
      <c r="J33" s="61"/>
      <c r="K33" s="61"/>
      <c r="L33" s="61"/>
      <c r="M33" s="57"/>
      <c r="N33" s="57"/>
      <c r="O33" s="62">
        <f>P33/H33</f>
        <v>0.08742636417</v>
      </c>
      <c r="P33" s="60">
        <f>SUM(P26:P32)</f>
        <v>180615</v>
      </c>
      <c r="Q33" s="57"/>
      <c r="R33" s="59">
        <f>SUM(R26:R32)</f>
        <v>0</v>
      </c>
      <c r="S33" s="57"/>
      <c r="T33" s="59">
        <f>SUM(T26:T32)</f>
        <v>0</v>
      </c>
      <c r="U33" s="57"/>
      <c r="V33" s="4"/>
      <c r="W33" s="57"/>
      <c r="X33" s="61"/>
      <c r="Y33" s="59">
        <f>SUM(Y26:Y32)</f>
        <v>892175</v>
      </c>
      <c r="Z33" s="4" t="s">
        <v>67</v>
      </c>
      <c r="AA33" s="57"/>
      <c r="AB33" s="61"/>
      <c r="AC33" s="59">
        <f>SUM(AC26:AC32)</f>
        <v>209500</v>
      </c>
    </row>
    <row r="34">
      <c r="A34" s="56"/>
      <c r="B34" s="4" t="s">
        <v>76</v>
      </c>
      <c r="C34" s="4" t="s">
        <v>2</v>
      </c>
      <c r="D34" s="4" t="s">
        <v>3</v>
      </c>
      <c r="E34" s="4" t="s">
        <v>4</v>
      </c>
      <c r="F34" s="4" t="s">
        <v>5</v>
      </c>
      <c r="G34" s="4" t="s">
        <v>6</v>
      </c>
      <c r="H34" s="4" t="s">
        <v>7</v>
      </c>
      <c r="I34" s="5" t="s">
        <v>8</v>
      </c>
      <c r="J34" s="5" t="s">
        <v>9</v>
      </c>
      <c r="K34" s="6" t="s">
        <v>10</v>
      </c>
      <c r="L34" s="6" t="s">
        <v>11</v>
      </c>
      <c r="M34" s="7" t="s">
        <v>12</v>
      </c>
      <c r="N34" s="7" t="s">
        <v>13</v>
      </c>
      <c r="O34" s="4" t="s">
        <v>14</v>
      </c>
      <c r="P34" s="7" t="s">
        <v>15</v>
      </c>
      <c r="Q34" s="4" t="s">
        <v>16</v>
      </c>
      <c r="R34" s="4" t="s">
        <v>17</v>
      </c>
      <c r="S34" s="7" t="s">
        <v>18</v>
      </c>
      <c r="T34" s="4" t="s">
        <v>19</v>
      </c>
      <c r="U34" s="4" t="s">
        <v>69</v>
      </c>
      <c r="V34" s="4" t="s">
        <v>21</v>
      </c>
      <c r="W34" s="4" t="s">
        <v>22</v>
      </c>
      <c r="X34" s="9" t="s">
        <v>23</v>
      </c>
      <c r="Y34" s="9" t="s">
        <v>24</v>
      </c>
      <c r="Z34" s="4" t="s">
        <v>25</v>
      </c>
      <c r="AA34" s="4" t="s">
        <v>26</v>
      </c>
      <c r="AB34" s="4" t="s">
        <v>27</v>
      </c>
      <c r="AC34" s="4" t="s">
        <v>28</v>
      </c>
    </row>
    <row r="35">
      <c r="A35" s="64" t="s">
        <v>29</v>
      </c>
      <c r="B35" s="65">
        <f>I39/E85</f>
        <v>0.03106546905</v>
      </c>
      <c r="C35" s="11">
        <f>I35/E85</f>
        <v>0.007632209504</v>
      </c>
      <c r="D35" s="35" t="s">
        <v>77</v>
      </c>
      <c r="E35" s="35" t="s">
        <v>78</v>
      </c>
      <c r="F35" s="45">
        <v>7.7</v>
      </c>
      <c r="G35" s="14">
        <v>350.0</v>
      </c>
      <c r="H35" s="15">
        <f t="shared" ref="H35:H38" si="14">G35*J35</f>
        <v>249315.5</v>
      </c>
      <c r="I35" s="15">
        <f t="shared" ref="I35:I37" si="15">H35+P35</f>
        <v>236526.5</v>
      </c>
      <c r="J35" s="16">
        <v>712.33</v>
      </c>
      <c r="K35" s="17">
        <f>IFERROR(__xludf.DUMMYFUNCTION("GOOGLEFINANCE(E35,""changepct"")"),0.0)</f>
        <v>0</v>
      </c>
      <c r="L35" s="18">
        <f>IFERROR(__xludf.DUMMYFUNCTION("googlefinance(E35,""price"")"),675.79)</f>
        <v>675.79</v>
      </c>
      <c r="M35" s="19"/>
      <c r="N35" s="20">
        <f t="shared" ref="N35:N38" si="16">L35-J35</f>
        <v>-36.54</v>
      </c>
      <c r="O35" s="21">
        <f t="shared" ref="O35:O37" si="17">L35/J35-1</f>
        <v>-0.05129644968</v>
      </c>
      <c r="P35" s="15">
        <f t="shared" ref="P35:P38" si="18">H35*O35</f>
        <v>-12789</v>
      </c>
      <c r="Q35" s="28"/>
      <c r="R35" s="23"/>
      <c r="S35" s="19"/>
      <c r="T35" s="23"/>
      <c r="U35" s="23"/>
      <c r="V35" s="26"/>
      <c r="W35" s="25"/>
      <c r="X35" s="19"/>
      <c r="Y35" s="23"/>
      <c r="Z35" s="12"/>
      <c r="AA35" s="47"/>
      <c r="AB35" s="20"/>
      <c r="AC35" s="15"/>
    </row>
    <row r="36">
      <c r="A36" s="30"/>
      <c r="B36" s="24"/>
      <c r="C36" s="11">
        <f>I36/E85</f>
        <v>0.01333083064</v>
      </c>
      <c r="D36" s="35" t="s">
        <v>79</v>
      </c>
      <c r="E36" s="35" t="s">
        <v>80</v>
      </c>
      <c r="F36" s="45">
        <v>7.8</v>
      </c>
      <c r="G36" s="14">
        <v>1500.0</v>
      </c>
      <c r="H36" s="15">
        <f t="shared" si="14"/>
        <v>390960</v>
      </c>
      <c r="I36" s="15">
        <f t="shared" si="15"/>
        <v>413130</v>
      </c>
      <c r="J36" s="16">
        <v>260.64</v>
      </c>
      <c r="K36" s="17">
        <f>IFERROR(__xludf.DUMMYFUNCTION("GOOGLEFINANCE(E36,""changepct"")"),0.0)</f>
        <v>0</v>
      </c>
      <c r="L36" s="18">
        <f>IFERROR(__xludf.DUMMYFUNCTION("googlefinance(E36,""price"")"),275.42)</f>
        <v>275.42</v>
      </c>
      <c r="M36" s="19"/>
      <c r="N36" s="20">
        <f t="shared" si="16"/>
        <v>14.78</v>
      </c>
      <c r="O36" s="21">
        <f t="shared" si="17"/>
        <v>0.05670656845</v>
      </c>
      <c r="P36" s="15">
        <f t="shared" si="18"/>
        <v>22170</v>
      </c>
      <c r="Q36" s="11">
        <v>0.033</v>
      </c>
      <c r="R36" s="23"/>
      <c r="S36" s="19"/>
      <c r="T36" s="23"/>
      <c r="U36" s="23"/>
      <c r="V36" s="26"/>
      <c r="W36" s="25"/>
      <c r="X36" s="19"/>
      <c r="Y36" s="23"/>
      <c r="Z36" s="12"/>
      <c r="AA36" s="47"/>
      <c r="AB36" s="20"/>
      <c r="AC36" s="15"/>
    </row>
    <row r="37">
      <c r="A37" s="30"/>
      <c r="B37" s="24"/>
      <c r="C37" s="11">
        <f>I37/E85</f>
        <v>0.01010242891</v>
      </c>
      <c r="D37" s="35" t="s">
        <v>81</v>
      </c>
      <c r="E37" s="35" t="s">
        <v>82</v>
      </c>
      <c r="F37" s="45">
        <v>7.8</v>
      </c>
      <c r="G37" s="14">
        <v>12000.0</v>
      </c>
      <c r="H37" s="15">
        <f t="shared" si="14"/>
        <v>318360</v>
      </c>
      <c r="I37" s="15">
        <f t="shared" si="15"/>
        <v>313080</v>
      </c>
      <c r="J37" s="16">
        <v>26.53</v>
      </c>
      <c r="K37" s="17">
        <f>IFERROR(__xludf.DUMMYFUNCTION("GOOGLEFINANCE(E37,""changepct"")"),0.0)</f>
        <v>0</v>
      </c>
      <c r="L37" s="18">
        <f>IFERROR(__xludf.DUMMYFUNCTION("googlefinance(E37,""price"")"),26.09)</f>
        <v>26.09</v>
      </c>
      <c r="M37" s="19"/>
      <c r="N37" s="20">
        <f t="shared" si="16"/>
        <v>-0.44</v>
      </c>
      <c r="O37" s="21">
        <f t="shared" si="17"/>
        <v>-0.01658499812</v>
      </c>
      <c r="P37" s="15">
        <f t="shared" si="18"/>
        <v>-5280</v>
      </c>
      <c r="Q37" s="11">
        <v>0.066</v>
      </c>
      <c r="R37" s="23"/>
      <c r="S37" s="19"/>
      <c r="T37" s="23"/>
      <c r="U37" s="23"/>
      <c r="V37" s="26"/>
      <c r="W37" s="25"/>
      <c r="X37" s="19"/>
      <c r="Y37" s="23"/>
      <c r="Z37" s="12"/>
      <c r="AA37" s="47"/>
      <c r="AB37" s="20"/>
      <c r="AC37" s="15"/>
    </row>
    <row r="38">
      <c r="A38" s="30"/>
      <c r="B38" s="24"/>
      <c r="C38" s="11">
        <f>I38/E85</f>
        <v>0</v>
      </c>
      <c r="D38" s="35" t="s">
        <v>83</v>
      </c>
      <c r="E38" s="35" t="s">
        <v>84</v>
      </c>
      <c r="F38" s="45">
        <v>7.7</v>
      </c>
      <c r="G38" s="14">
        <v>500.0</v>
      </c>
      <c r="H38" s="15">
        <f t="shared" si="14"/>
        <v>252930</v>
      </c>
      <c r="I38" s="34">
        <v>0.0</v>
      </c>
      <c r="J38" s="16">
        <v>505.86</v>
      </c>
      <c r="K38" s="17">
        <f>IFERROR(__xludf.DUMMYFUNCTION("GOOGLEFINANCE(E38,""changepct"")"),0.0)</f>
        <v>0</v>
      </c>
      <c r="L38" s="18">
        <f>IFERROR(__xludf.DUMMYFUNCTION("googlefinance(E38,""price"")"),532.51)</f>
        <v>532.51</v>
      </c>
      <c r="M38" s="41">
        <v>523.8</v>
      </c>
      <c r="N38" s="20">
        <f t="shared" si="16"/>
        <v>26.65</v>
      </c>
      <c r="O38" s="21">
        <f>M38/J38-1</f>
        <v>0.03546435773</v>
      </c>
      <c r="P38" s="15">
        <f t="shared" si="18"/>
        <v>8970</v>
      </c>
      <c r="Q38" s="11">
        <v>0.015</v>
      </c>
      <c r="R38" s="23"/>
      <c r="S38" s="19"/>
      <c r="T38" s="23"/>
      <c r="U38" s="23"/>
      <c r="V38" s="44" t="s">
        <v>84</v>
      </c>
      <c r="W38" s="40">
        <v>45307.0</v>
      </c>
      <c r="X38" s="41">
        <v>523.8</v>
      </c>
      <c r="Y38" s="42">
        <v>261900.0</v>
      </c>
      <c r="Z38" s="12"/>
      <c r="AA38" s="47"/>
      <c r="AB38" s="20"/>
      <c r="AC38" s="15"/>
    </row>
    <row r="39">
      <c r="A39" s="56"/>
      <c r="B39" s="57"/>
      <c r="C39" s="4" t="s">
        <v>85</v>
      </c>
      <c r="D39" s="57"/>
      <c r="E39" s="57"/>
      <c r="F39" s="57"/>
      <c r="G39" s="57"/>
      <c r="H39" s="59">
        <f t="shared" ref="H39:I39" si="19">SUM(H35:H38)</f>
        <v>1211565.5</v>
      </c>
      <c r="I39" s="60">
        <f t="shared" si="19"/>
        <v>962736.5</v>
      </c>
      <c r="J39" s="76"/>
      <c r="K39" s="61"/>
      <c r="L39" s="61"/>
      <c r="M39" s="57"/>
      <c r="N39" s="57"/>
      <c r="O39" s="77">
        <f>P39/I39</f>
        <v>0.0135769237</v>
      </c>
      <c r="P39" s="60">
        <f>SUM(P35:P38)</f>
        <v>13071</v>
      </c>
      <c r="Q39" s="57"/>
      <c r="R39" s="78">
        <f>SUM(R35:R38)</f>
        <v>0</v>
      </c>
      <c r="S39" s="57"/>
      <c r="T39" s="78">
        <v>0.0</v>
      </c>
      <c r="U39" s="57"/>
      <c r="V39" s="57"/>
      <c r="W39" s="57"/>
      <c r="X39" s="61"/>
      <c r="Y39" s="59">
        <f>SUM(Y35:Y38)</f>
        <v>261900</v>
      </c>
      <c r="Z39" s="57"/>
      <c r="AA39" s="57"/>
      <c r="AB39" s="57"/>
      <c r="AC39" s="59">
        <f>SUM(AC35:AC38)</f>
        <v>0</v>
      </c>
    </row>
    <row r="40">
      <c r="A40" s="56"/>
      <c r="B40" s="4" t="s">
        <v>86</v>
      </c>
      <c r="C40" s="4" t="s">
        <v>2</v>
      </c>
      <c r="D40" s="4" t="s">
        <v>3</v>
      </c>
      <c r="E40" s="4" t="s">
        <v>4</v>
      </c>
      <c r="F40" s="4" t="s">
        <v>5</v>
      </c>
      <c r="G40" s="4" t="s">
        <v>6</v>
      </c>
      <c r="H40" s="4" t="s">
        <v>7</v>
      </c>
      <c r="I40" s="5" t="s">
        <v>8</v>
      </c>
      <c r="J40" s="5" t="s">
        <v>9</v>
      </c>
      <c r="K40" s="6" t="s">
        <v>10</v>
      </c>
      <c r="L40" s="6" t="s">
        <v>11</v>
      </c>
      <c r="M40" s="7" t="s">
        <v>12</v>
      </c>
      <c r="N40" s="7" t="s">
        <v>13</v>
      </c>
      <c r="O40" s="4" t="s">
        <v>14</v>
      </c>
      <c r="P40" s="7" t="s">
        <v>15</v>
      </c>
      <c r="Q40" s="4" t="s">
        <v>16</v>
      </c>
      <c r="R40" s="4" t="s">
        <v>17</v>
      </c>
      <c r="S40" s="7" t="s">
        <v>18</v>
      </c>
      <c r="T40" s="4" t="s">
        <v>19</v>
      </c>
      <c r="U40" s="4" t="s">
        <v>69</v>
      </c>
      <c r="V40" s="4" t="s">
        <v>21</v>
      </c>
      <c r="W40" s="4" t="s">
        <v>22</v>
      </c>
      <c r="X40" s="9" t="s">
        <v>23</v>
      </c>
      <c r="Y40" s="9" t="s">
        <v>24</v>
      </c>
      <c r="Z40" s="4" t="s">
        <v>25</v>
      </c>
      <c r="AA40" s="4" t="s">
        <v>26</v>
      </c>
      <c r="AB40" s="4" t="s">
        <v>27</v>
      </c>
      <c r="AC40" s="4" t="s">
        <v>28</v>
      </c>
    </row>
    <row r="41">
      <c r="A41" s="64" t="s">
        <v>29</v>
      </c>
      <c r="B41" s="65">
        <f>I45/E85</f>
        <v>0.05157433873</v>
      </c>
      <c r="C41" s="66">
        <f>I41/E85</f>
        <v>0.008597132153</v>
      </c>
      <c r="D41" s="35" t="s">
        <v>87</v>
      </c>
      <c r="E41" s="35" t="s">
        <v>88</v>
      </c>
      <c r="F41" s="45">
        <v>7.7</v>
      </c>
      <c r="G41" s="79">
        <v>1000.0</v>
      </c>
      <c r="H41" s="74">
        <f t="shared" ref="H41:H44" si="20">G41*J41</f>
        <v>263490</v>
      </c>
      <c r="I41" s="80">
        <f t="shared" ref="I41:I44" si="21">H41+P41</f>
        <v>266430</v>
      </c>
      <c r="J41" s="81">
        <v>263.49</v>
      </c>
      <c r="K41" s="17">
        <f>IFERROR(__xludf.DUMMYFUNCTION("GOOGLEFINANCE(E41,""changepct"")"),0.04)</f>
        <v>0.04</v>
      </c>
      <c r="L41" s="70">
        <f>IFERROR(__xludf.DUMMYFUNCTION("googlefinance(E41,""price"")"),266.43)</f>
        <v>266.43</v>
      </c>
      <c r="M41" s="22"/>
      <c r="N41" s="70">
        <f t="shared" ref="N41:N44" si="22">L41-J41</f>
        <v>2.94</v>
      </c>
      <c r="O41" s="21">
        <f t="shared" ref="O41:O44" si="23">L41/J41-1</f>
        <v>0.01115791871</v>
      </c>
      <c r="P41" s="80">
        <f t="shared" ref="P41:P44" si="24">H41*O41</f>
        <v>2940</v>
      </c>
      <c r="Q41" s="66">
        <v>0.022</v>
      </c>
      <c r="R41" s="49"/>
      <c r="S41" s="49"/>
      <c r="T41" s="49"/>
      <c r="U41" s="49"/>
      <c r="V41" s="49"/>
      <c r="W41" s="49"/>
      <c r="X41" s="82"/>
      <c r="Y41" s="71"/>
      <c r="Z41" s="35"/>
      <c r="AA41" s="83"/>
      <c r="AB41" s="84"/>
      <c r="AC41" s="74"/>
    </row>
    <row r="42">
      <c r="A42" s="48"/>
      <c r="B42" s="49"/>
      <c r="C42" s="66">
        <f>I42/E85</f>
        <v>0.01282867784</v>
      </c>
      <c r="D42" s="35" t="s">
        <v>89</v>
      </c>
      <c r="E42" s="35" t="s">
        <v>90</v>
      </c>
      <c r="F42" s="45">
        <v>7.8</v>
      </c>
      <c r="G42" s="79">
        <v>800.0</v>
      </c>
      <c r="H42" s="74">
        <f t="shared" si="20"/>
        <v>388752</v>
      </c>
      <c r="I42" s="80">
        <f t="shared" si="21"/>
        <v>397568</v>
      </c>
      <c r="J42" s="81">
        <v>485.94</v>
      </c>
      <c r="K42" s="17">
        <f>IFERROR(__xludf.DUMMYFUNCTION("GOOGLEFINANCE(E42,""changepct"")"),0.0)</f>
        <v>0</v>
      </c>
      <c r="L42" s="70">
        <f>IFERROR(__xludf.DUMMYFUNCTION("googlefinance(E42,""price"")"),496.96)</f>
        <v>496.96</v>
      </c>
      <c r="M42" s="22"/>
      <c r="N42" s="70">
        <f t="shared" si="22"/>
        <v>11.02</v>
      </c>
      <c r="O42" s="21">
        <f t="shared" si="23"/>
        <v>0.02267769684</v>
      </c>
      <c r="P42" s="80">
        <f t="shared" si="24"/>
        <v>8816</v>
      </c>
      <c r="Q42" s="66">
        <v>0.027</v>
      </c>
      <c r="R42" s="49"/>
      <c r="S42" s="49"/>
      <c r="T42" s="49"/>
      <c r="U42" s="49"/>
      <c r="V42" s="49"/>
      <c r="W42" s="49"/>
      <c r="X42" s="82"/>
      <c r="Y42" s="71"/>
      <c r="Z42" s="35"/>
      <c r="AA42" s="83"/>
      <c r="AB42" s="84"/>
      <c r="AC42" s="74"/>
    </row>
    <row r="43">
      <c r="A43" s="48"/>
      <c r="B43" s="49"/>
      <c r="C43" s="66">
        <f>I43/E85</f>
        <v>0.01603778337</v>
      </c>
      <c r="D43" s="35" t="s">
        <v>91</v>
      </c>
      <c r="E43" s="35" t="s">
        <v>92</v>
      </c>
      <c r="F43" s="45">
        <v>7.7</v>
      </c>
      <c r="G43" s="79">
        <v>1000.0</v>
      </c>
      <c r="H43" s="74">
        <f t="shared" si="20"/>
        <v>469290</v>
      </c>
      <c r="I43" s="80">
        <f t="shared" si="21"/>
        <v>497020</v>
      </c>
      <c r="J43" s="81">
        <v>469.29</v>
      </c>
      <c r="K43" s="17">
        <f>IFERROR(__xludf.DUMMYFUNCTION("GOOGLEFINANCE(E43,""changepct"")"),0.0)</f>
        <v>0</v>
      </c>
      <c r="L43" s="70">
        <f>IFERROR(__xludf.DUMMYFUNCTION("googlefinance(E43,""price"")"),497.02)</f>
        <v>497.02</v>
      </c>
      <c r="M43" s="22"/>
      <c r="N43" s="70">
        <f t="shared" si="22"/>
        <v>27.73</v>
      </c>
      <c r="O43" s="21">
        <f t="shared" si="23"/>
        <v>0.0590892625</v>
      </c>
      <c r="P43" s="80">
        <f t="shared" si="24"/>
        <v>27730</v>
      </c>
      <c r="Q43" s="66">
        <v>0.018</v>
      </c>
      <c r="R43" s="49"/>
      <c r="S43" s="49"/>
      <c r="T43" s="49"/>
      <c r="U43" s="49"/>
      <c r="V43" s="49"/>
      <c r="W43" s="49"/>
      <c r="X43" s="82"/>
      <c r="Y43" s="71"/>
      <c r="Z43" s="35"/>
      <c r="AA43" s="83"/>
      <c r="AB43" s="84"/>
      <c r="AC43" s="74"/>
    </row>
    <row r="44">
      <c r="A44" s="48"/>
      <c r="B44" s="49"/>
      <c r="C44" s="66">
        <f>I44/E85</f>
        <v>0.01411074538</v>
      </c>
      <c r="D44" s="35" t="s">
        <v>93</v>
      </c>
      <c r="E44" s="35" t="s">
        <v>94</v>
      </c>
      <c r="F44" s="45">
        <v>7.8</v>
      </c>
      <c r="G44" s="68">
        <v>2000.0</v>
      </c>
      <c r="H44" s="74">
        <f t="shared" si="20"/>
        <v>420560</v>
      </c>
      <c r="I44" s="80">
        <f t="shared" si="21"/>
        <v>437300</v>
      </c>
      <c r="J44" s="81">
        <v>210.28</v>
      </c>
      <c r="K44" s="17">
        <f>IFERROR(__xludf.DUMMYFUNCTION("GOOGLEFINANCE(E44,""changepct"")"),0.0)</f>
        <v>0</v>
      </c>
      <c r="L44" s="70">
        <f>IFERROR(__xludf.DUMMYFUNCTION("googlefinance(E44,""price"")"),218.65)</f>
        <v>218.65</v>
      </c>
      <c r="M44" s="22"/>
      <c r="N44" s="70">
        <f t="shared" si="22"/>
        <v>8.37</v>
      </c>
      <c r="O44" s="21">
        <f t="shared" si="23"/>
        <v>0.03980407076</v>
      </c>
      <c r="P44" s="80">
        <f t="shared" si="24"/>
        <v>16740</v>
      </c>
      <c r="Q44" s="66">
        <v>0.022</v>
      </c>
      <c r="R44" s="49"/>
      <c r="S44" s="49"/>
      <c r="T44" s="49"/>
      <c r="U44" s="49"/>
      <c r="V44" s="49"/>
      <c r="W44" s="49"/>
      <c r="X44" s="82"/>
      <c r="Y44" s="71"/>
      <c r="Z44" s="35"/>
      <c r="AA44" s="83"/>
      <c r="AB44" s="84"/>
      <c r="AC44" s="74"/>
    </row>
    <row r="45">
      <c r="A45" s="56"/>
      <c r="B45" s="57"/>
      <c r="C45" s="4" t="s">
        <v>67</v>
      </c>
      <c r="D45" s="57"/>
      <c r="E45" s="57"/>
      <c r="F45" s="57"/>
      <c r="G45" s="57"/>
      <c r="H45" s="59">
        <f t="shared" ref="H45:I45" si="25">SUM(H41:H44)</f>
        <v>1542092</v>
      </c>
      <c r="I45" s="60">
        <f t="shared" si="25"/>
        <v>1598318</v>
      </c>
      <c r="J45" s="76"/>
      <c r="K45" s="61"/>
      <c r="L45" s="61"/>
      <c r="M45" s="57"/>
      <c r="N45" s="57"/>
      <c r="O45" s="77">
        <f>P45/I45</f>
        <v>0.03517823112</v>
      </c>
      <c r="P45" s="60">
        <f>SUM(P41:P44)</f>
        <v>56226</v>
      </c>
      <c r="Q45" s="57"/>
      <c r="R45" s="78">
        <f>SUM(R41:R44)</f>
        <v>0</v>
      </c>
      <c r="S45" s="57"/>
      <c r="T45" s="78">
        <v>0.0</v>
      </c>
      <c r="U45" s="57"/>
      <c r="V45" s="57"/>
      <c r="W45" s="57"/>
      <c r="X45" s="76"/>
      <c r="Y45" s="59">
        <f>SUM(Y41:Y44)</f>
        <v>0</v>
      </c>
      <c r="Z45" s="57"/>
      <c r="AA45" s="57"/>
      <c r="AB45" s="57"/>
      <c r="AC45" s="59">
        <f>SUM(AC41:AC44)</f>
        <v>0</v>
      </c>
    </row>
    <row r="46">
      <c r="A46" s="56"/>
      <c r="B46" s="4" t="s">
        <v>95</v>
      </c>
      <c r="C46" s="4" t="s">
        <v>2</v>
      </c>
      <c r="D46" s="4" t="s">
        <v>3</v>
      </c>
      <c r="E46" s="4" t="s">
        <v>4</v>
      </c>
      <c r="F46" s="4" t="s">
        <v>5</v>
      </c>
      <c r="G46" s="4" t="s">
        <v>6</v>
      </c>
      <c r="H46" s="4" t="s">
        <v>7</v>
      </c>
      <c r="I46" s="5" t="s">
        <v>8</v>
      </c>
      <c r="J46" s="5" t="s">
        <v>9</v>
      </c>
      <c r="K46" s="6" t="s">
        <v>10</v>
      </c>
      <c r="L46" s="6" t="s">
        <v>11</v>
      </c>
      <c r="M46" s="7" t="s">
        <v>12</v>
      </c>
      <c r="N46" s="7" t="s">
        <v>13</v>
      </c>
      <c r="O46" s="4" t="s">
        <v>14</v>
      </c>
      <c r="P46" s="7" t="s">
        <v>15</v>
      </c>
      <c r="Q46" s="4" t="s">
        <v>16</v>
      </c>
      <c r="R46" s="4" t="s">
        <v>17</v>
      </c>
      <c r="S46" s="7" t="s">
        <v>18</v>
      </c>
      <c r="T46" s="4" t="s">
        <v>19</v>
      </c>
      <c r="U46" s="4" t="s">
        <v>69</v>
      </c>
      <c r="V46" s="4" t="s">
        <v>21</v>
      </c>
      <c r="W46" s="4" t="s">
        <v>22</v>
      </c>
      <c r="X46" s="9" t="s">
        <v>23</v>
      </c>
      <c r="Y46" s="9" t="s">
        <v>24</v>
      </c>
      <c r="Z46" s="4" t="s">
        <v>25</v>
      </c>
      <c r="AA46" s="4" t="s">
        <v>26</v>
      </c>
      <c r="AB46" s="4" t="s">
        <v>27</v>
      </c>
      <c r="AC46" s="4" t="s">
        <v>28</v>
      </c>
    </row>
    <row r="47">
      <c r="A47" s="85" t="s">
        <v>29</v>
      </c>
      <c r="B47" s="86">
        <f>I57/E85</f>
        <v>0.097529516</v>
      </c>
      <c r="C47" s="11">
        <f>I47/E85</f>
        <v>0.009102769885</v>
      </c>
      <c r="D47" s="87" t="s">
        <v>96</v>
      </c>
      <c r="E47" s="12" t="s">
        <v>97</v>
      </c>
      <c r="F47" s="13">
        <v>7.8</v>
      </c>
      <c r="G47" s="14">
        <v>10000.0</v>
      </c>
      <c r="H47" s="15">
        <f t="shared" ref="H47:H56" si="26">G47*J47</f>
        <v>245800</v>
      </c>
      <c r="I47" s="15">
        <f t="shared" ref="I47:I51" si="27">H47+P47</f>
        <v>282100</v>
      </c>
      <c r="J47" s="16">
        <v>24.58</v>
      </c>
      <c r="K47" s="17">
        <f>IFERROR(__xludf.DUMMYFUNCTION("GOOGLEFINANCE(E47,""changepct"")"),0.0)</f>
        <v>0</v>
      </c>
      <c r="L47" s="20">
        <f>IFERROR(__xludf.DUMMYFUNCTION("googlefinance(E47,""price"")"),28.21)</f>
        <v>28.21</v>
      </c>
      <c r="M47" s="19"/>
      <c r="N47" s="20">
        <f t="shared" ref="N47:N56" si="28">L47-J47</f>
        <v>3.63</v>
      </c>
      <c r="O47" s="21">
        <f t="shared" ref="O47:O49" si="29">L47/J47-1</f>
        <v>0.1476810415</v>
      </c>
      <c r="P47" s="88">
        <f t="shared" ref="P47:P56" si="30">H47*O47</f>
        <v>36300</v>
      </c>
      <c r="Q47" s="24"/>
      <c r="R47" s="23"/>
      <c r="S47" s="19"/>
      <c r="T47" s="23"/>
      <c r="U47" s="23"/>
      <c r="V47" s="12"/>
      <c r="W47" s="47"/>
      <c r="X47" s="20"/>
      <c r="Y47" s="15"/>
      <c r="Z47" s="26"/>
      <c r="AA47" s="25"/>
      <c r="AB47" s="19"/>
      <c r="AC47" s="23"/>
    </row>
    <row r="48">
      <c r="A48" s="30"/>
      <c r="B48" s="24"/>
      <c r="C48" s="11">
        <f>I48/E85</f>
        <v>0.006565707559</v>
      </c>
      <c r="D48" s="87" t="s">
        <v>98</v>
      </c>
      <c r="E48" s="12" t="s">
        <v>99</v>
      </c>
      <c r="F48" s="31">
        <v>7.5</v>
      </c>
      <c r="G48" s="14">
        <v>7500.0</v>
      </c>
      <c r="H48" s="15">
        <f t="shared" si="26"/>
        <v>164400</v>
      </c>
      <c r="I48" s="15">
        <f t="shared" si="27"/>
        <v>203475</v>
      </c>
      <c r="J48" s="16">
        <v>21.92</v>
      </c>
      <c r="K48" s="17">
        <f>IFERROR(__xludf.DUMMYFUNCTION("GOOGLEFINANCE(E48,""changepct"")"),0.0)</f>
        <v>0</v>
      </c>
      <c r="L48" s="20">
        <f>IFERROR(__xludf.DUMMYFUNCTION("googlefinance(E48,""price"")"),27.13)</f>
        <v>27.13</v>
      </c>
      <c r="M48" s="19"/>
      <c r="N48" s="20">
        <f t="shared" si="28"/>
        <v>5.21</v>
      </c>
      <c r="O48" s="21">
        <f t="shared" si="29"/>
        <v>0.2376824818</v>
      </c>
      <c r="P48" s="88">
        <f t="shared" si="30"/>
        <v>39075</v>
      </c>
      <c r="Q48" s="28"/>
      <c r="R48" s="23"/>
      <c r="S48" s="19"/>
      <c r="T48" s="23"/>
      <c r="U48" s="23"/>
      <c r="V48" s="26"/>
      <c r="W48" s="25"/>
      <c r="X48" s="19"/>
      <c r="Y48" s="23"/>
      <c r="Z48" s="12"/>
      <c r="AA48" s="47"/>
      <c r="AB48" s="20"/>
      <c r="AC48" s="15"/>
    </row>
    <row r="49">
      <c r="A49" s="30"/>
      <c r="B49" s="24"/>
      <c r="C49" s="11">
        <f>I49/E85</f>
        <v>0.02710502199</v>
      </c>
      <c r="D49" s="89" t="s">
        <v>100</v>
      </c>
      <c r="E49" s="12" t="s">
        <v>101</v>
      </c>
      <c r="F49" s="31">
        <v>8.0</v>
      </c>
      <c r="G49" s="32">
        <v>15000.0</v>
      </c>
      <c r="H49" s="15">
        <f t="shared" si="26"/>
        <v>770850</v>
      </c>
      <c r="I49" s="15">
        <f t="shared" si="27"/>
        <v>840000</v>
      </c>
      <c r="J49" s="16">
        <v>51.39</v>
      </c>
      <c r="K49" s="17">
        <f>IFERROR(__xludf.DUMMYFUNCTION("GOOGLEFINANCE(E49,""changepct"")"),-0.02)</f>
        <v>-0.02</v>
      </c>
      <c r="L49" s="20">
        <f>IFERROR(__xludf.DUMMYFUNCTION("googlefinance(E49,""price"")"),56.0)</f>
        <v>56</v>
      </c>
      <c r="M49" s="19"/>
      <c r="N49" s="20">
        <f t="shared" si="28"/>
        <v>4.61</v>
      </c>
      <c r="O49" s="21">
        <f t="shared" si="29"/>
        <v>0.08970616852</v>
      </c>
      <c r="P49" s="88">
        <f t="shared" si="30"/>
        <v>69150</v>
      </c>
      <c r="Q49" s="28"/>
      <c r="R49" s="23"/>
      <c r="S49" s="19"/>
      <c r="T49" s="23"/>
      <c r="U49" s="23"/>
      <c r="V49" s="26"/>
      <c r="W49" s="25"/>
      <c r="X49" s="19"/>
      <c r="Y49" s="23"/>
      <c r="Z49" s="12"/>
      <c r="AA49" s="47"/>
      <c r="AB49" s="20"/>
      <c r="AC49" s="15"/>
    </row>
    <row r="50">
      <c r="A50" s="30"/>
      <c r="B50" s="24"/>
      <c r="C50" s="11">
        <f>I50/E85</f>
        <v>0.01129375916</v>
      </c>
      <c r="D50" s="87" t="s">
        <v>102</v>
      </c>
      <c r="E50" s="12" t="s">
        <v>103</v>
      </c>
      <c r="F50" s="31">
        <v>7.5</v>
      </c>
      <c r="G50" s="32">
        <v>10000.0</v>
      </c>
      <c r="H50" s="15">
        <f t="shared" si="26"/>
        <v>212300</v>
      </c>
      <c r="I50" s="15">
        <f t="shared" si="27"/>
        <v>350000</v>
      </c>
      <c r="J50" s="16">
        <v>21.23</v>
      </c>
      <c r="K50" s="17">
        <f>IFERROR(__xludf.DUMMYFUNCTION("GOOGLEFINANCE(E50,""changepct"")"),-0.12)</f>
        <v>-0.12</v>
      </c>
      <c r="L50" s="20">
        <f>IFERROR(__xludf.DUMMYFUNCTION("googlefinance(E50,""price"")"),41.82)</f>
        <v>41.82</v>
      </c>
      <c r="M50" s="41">
        <v>35.0</v>
      </c>
      <c r="N50" s="20">
        <f t="shared" si="28"/>
        <v>20.59</v>
      </c>
      <c r="O50" s="21">
        <f>M50/J50-1</f>
        <v>0.6486104569</v>
      </c>
      <c r="P50" s="88">
        <f t="shared" si="30"/>
        <v>137700</v>
      </c>
      <c r="Q50" s="28"/>
      <c r="R50" s="23"/>
      <c r="S50" s="41" t="s">
        <v>104</v>
      </c>
      <c r="T50" s="42">
        <v>37500.0</v>
      </c>
      <c r="U50" s="23"/>
      <c r="V50" s="26"/>
      <c r="W50" s="25"/>
      <c r="X50" s="19"/>
      <c r="Y50" s="23"/>
      <c r="Z50" s="12"/>
      <c r="AA50" s="47"/>
      <c r="AB50" s="20"/>
      <c r="AC50" s="15"/>
    </row>
    <row r="51">
      <c r="A51" s="30"/>
      <c r="B51" s="24"/>
      <c r="C51" s="11">
        <f>I51/E85</f>
        <v>0.0134944288</v>
      </c>
      <c r="D51" s="87" t="s">
        <v>102</v>
      </c>
      <c r="E51" s="12" t="s">
        <v>103</v>
      </c>
      <c r="F51" s="31">
        <v>7.5</v>
      </c>
      <c r="G51" s="32">
        <v>10000.0</v>
      </c>
      <c r="H51" s="15">
        <f t="shared" si="26"/>
        <v>212300</v>
      </c>
      <c r="I51" s="15">
        <f t="shared" si="27"/>
        <v>418200</v>
      </c>
      <c r="J51" s="16">
        <v>21.23</v>
      </c>
      <c r="K51" s="17">
        <f>IFERROR(__xludf.DUMMYFUNCTION("GOOGLEFINANCE(E51,""changepct"")"),-0.12)</f>
        <v>-0.12</v>
      </c>
      <c r="L51" s="20">
        <f>IFERROR(__xludf.DUMMYFUNCTION("googlefinance(E51,""price"")"),41.82)</f>
        <v>41.82</v>
      </c>
      <c r="M51" s="41"/>
      <c r="N51" s="20">
        <f t="shared" si="28"/>
        <v>20.59</v>
      </c>
      <c r="O51" s="21">
        <f>L51/J51-1</f>
        <v>0.9698539802</v>
      </c>
      <c r="P51" s="88">
        <f t="shared" si="30"/>
        <v>205900</v>
      </c>
      <c r="Q51" s="28"/>
      <c r="R51" s="23"/>
      <c r="S51" s="19"/>
      <c r="T51" s="23"/>
      <c r="U51" s="23"/>
      <c r="V51" s="44"/>
      <c r="W51" s="40"/>
      <c r="X51" s="41"/>
      <c r="Y51" s="42"/>
      <c r="Z51" s="12"/>
      <c r="AA51" s="47"/>
      <c r="AB51" s="20"/>
      <c r="AC51" s="15"/>
    </row>
    <row r="52">
      <c r="A52" s="30"/>
      <c r="B52" s="24"/>
      <c r="C52" s="11">
        <f>I52/E85</f>
        <v>0</v>
      </c>
      <c r="D52" s="87" t="s">
        <v>102</v>
      </c>
      <c r="E52" s="12" t="s">
        <v>103</v>
      </c>
      <c r="F52" s="31">
        <v>7.5</v>
      </c>
      <c r="G52" s="32">
        <v>10000.0</v>
      </c>
      <c r="H52" s="15">
        <f t="shared" si="26"/>
        <v>212300</v>
      </c>
      <c r="I52" s="34">
        <v>0.0</v>
      </c>
      <c r="J52" s="16">
        <v>21.23</v>
      </c>
      <c r="K52" s="17">
        <f>IFERROR(__xludf.DUMMYFUNCTION("GOOGLEFINANCE(E52,""changepct"")"),-0.12)</f>
        <v>-0.12</v>
      </c>
      <c r="L52" s="20">
        <f>IFERROR(__xludf.DUMMYFUNCTION("googlefinance(E52,""price"")"),41.82)</f>
        <v>41.82</v>
      </c>
      <c r="M52" s="41">
        <v>34.44</v>
      </c>
      <c r="N52" s="20">
        <f t="shared" si="28"/>
        <v>20.59</v>
      </c>
      <c r="O52" s="21">
        <f>M52/J52-1</f>
        <v>0.6222326896</v>
      </c>
      <c r="P52" s="88">
        <f t="shared" si="30"/>
        <v>132100</v>
      </c>
      <c r="Q52" s="28"/>
      <c r="R52" s="23"/>
      <c r="S52" s="19"/>
      <c r="T52" s="23"/>
      <c r="U52" s="23"/>
      <c r="V52" s="44" t="s">
        <v>103</v>
      </c>
      <c r="W52" s="40">
        <v>45679.0</v>
      </c>
      <c r="X52" s="41">
        <v>34.44</v>
      </c>
      <c r="Y52" s="42">
        <v>344400.0</v>
      </c>
      <c r="Z52" s="12"/>
      <c r="AA52" s="47"/>
      <c r="AB52" s="20"/>
      <c r="AC52" s="15"/>
    </row>
    <row r="53">
      <c r="A53" s="30"/>
      <c r="B53" s="24"/>
      <c r="C53" s="11">
        <f>I53/E85</f>
        <v>0.01121115338</v>
      </c>
      <c r="D53" s="87" t="s">
        <v>105</v>
      </c>
      <c r="E53" s="12" t="s">
        <v>106</v>
      </c>
      <c r="F53" s="13">
        <v>7.8</v>
      </c>
      <c r="G53" s="14">
        <v>1000.0</v>
      </c>
      <c r="H53" s="15">
        <f t="shared" si="26"/>
        <v>223710</v>
      </c>
      <c r="I53" s="15">
        <f t="shared" ref="I53:I56" si="31">H53+P53</f>
        <v>347440</v>
      </c>
      <c r="J53" s="16">
        <v>223.71</v>
      </c>
      <c r="K53" s="17">
        <f>IFERROR(__xludf.DUMMYFUNCTION("GOOGLEFINANCE(E53,""changepct"")"),0.0)</f>
        <v>0</v>
      </c>
      <c r="L53" s="20">
        <f>IFERROR(__xludf.DUMMYFUNCTION("googlefinance(E53,""price"")"),347.44)</f>
        <v>347.44</v>
      </c>
      <c r="M53" s="19"/>
      <c r="N53" s="20">
        <f t="shared" si="28"/>
        <v>123.73</v>
      </c>
      <c r="O53" s="21">
        <f t="shared" ref="O53:O56" si="32">L53/J53-1</f>
        <v>0.5530821152</v>
      </c>
      <c r="P53" s="88">
        <f t="shared" si="30"/>
        <v>123730</v>
      </c>
      <c r="Q53" s="28"/>
      <c r="R53" s="23"/>
      <c r="S53" s="19"/>
      <c r="T53" s="23"/>
      <c r="U53" s="23"/>
      <c r="V53" s="26"/>
      <c r="W53" s="25"/>
      <c r="X53" s="19"/>
      <c r="Y53" s="23"/>
      <c r="Z53" s="12"/>
      <c r="AA53" s="47"/>
      <c r="AB53" s="20"/>
      <c r="AC53" s="15"/>
    </row>
    <row r="54">
      <c r="A54" s="30"/>
      <c r="B54" s="24"/>
      <c r="C54" s="11">
        <f>I54/E85</f>
        <v>0.005082191623</v>
      </c>
      <c r="D54" s="87" t="s">
        <v>107</v>
      </c>
      <c r="E54" s="12" t="s">
        <v>108</v>
      </c>
      <c r="F54" s="31">
        <v>7.7</v>
      </c>
      <c r="G54" s="32">
        <v>50000.0</v>
      </c>
      <c r="H54" s="15">
        <f t="shared" si="26"/>
        <v>148500</v>
      </c>
      <c r="I54" s="15">
        <f t="shared" si="31"/>
        <v>157500</v>
      </c>
      <c r="J54" s="16">
        <v>2.97</v>
      </c>
      <c r="K54" s="17">
        <f>IFERROR(__xludf.DUMMYFUNCTION("GOOGLEFINANCE(E54,""changepct"")"),-0.32)</f>
        <v>-0.32</v>
      </c>
      <c r="L54" s="20">
        <f>IFERROR(__xludf.DUMMYFUNCTION("googlefinance(E54,""price"")"),3.15)</f>
        <v>3.15</v>
      </c>
      <c r="M54" s="19"/>
      <c r="N54" s="20">
        <f t="shared" si="28"/>
        <v>0.18</v>
      </c>
      <c r="O54" s="21">
        <f t="shared" si="32"/>
        <v>0.06060606061</v>
      </c>
      <c r="P54" s="88">
        <f t="shared" si="30"/>
        <v>9000</v>
      </c>
      <c r="Q54" s="28"/>
      <c r="R54" s="23"/>
      <c r="S54" s="19"/>
      <c r="T54" s="23"/>
      <c r="U54" s="23"/>
      <c r="V54" s="26"/>
      <c r="W54" s="25"/>
      <c r="X54" s="19"/>
      <c r="Y54" s="23"/>
      <c r="Z54" s="12"/>
      <c r="AA54" s="47"/>
      <c r="AB54" s="20"/>
      <c r="AC54" s="15"/>
    </row>
    <row r="55">
      <c r="A55" s="30"/>
      <c r="B55" s="24"/>
      <c r="C55" s="11">
        <f>I55/E85</f>
        <v>0.005082191623</v>
      </c>
      <c r="D55" s="87" t="s">
        <v>107</v>
      </c>
      <c r="E55" s="12" t="s">
        <v>108</v>
      </c>
      <c r="F55" s="31">
        <v>7.7</v>
      </c>
      <c r="G55" s="32">
        <v>50000.0</v>
      </c>
      <c r="H55" s="15">
        <f t="shared" si="26"/>
        <v>172500</v>
      </c>
      <c r="I55" s="15">
        <f t="shared" si="31"/>
        <v>157500</v>
      </c>
      <c r="J55" s="16">
        <v>3.45</v>
      </c>
      <c r="K55" s="17">
        <f>IFERROR(__xludf.DUMMYFUNCTION("GOOGLEFINANCE(E55,""changepct"")"),-0.32)</f>
        <v>-0.32</v>
      </c>
      <c r="L55" s="20">
        <f>IFERROR(__xludf.DUMMYFUNCTION("googlefinance(E55,""price"")"),3.15)</f>
        <v>3.15</v>
      </c>
      <c r="M55" s="20"/>
      <c r="N55" s="20">
        <f t="shared" si="28"/>
        <v>-0.3</v>
      </c>
      <c r="O55" s="21">
        <f t="shared" si="32"/>
        <v>-0.08695652174</v>
      </c>
      <c r="P55" s="88">
        <f t="shared" si="30"/>
        <v>-15000</v>
      </c>
      <c r="Q55" s="11"/>
      <c r="R55" s="23"/>
      <c r="S55" s="19"/>
      <c r="T55" s="23"/>
      <c r="U55" s="23"/>
      <c r="V55" s="12"/>
      <c r="W55" s="47"/>
      <c r="X55" s="20"/>
      <c r="Y55" s="15"/>
      <c r="Z55" s="44" t="s">
        <v>108</v>
      </c>
      <c r="AA55" s="40">
        <v>45664.0</v>
      </c>
      <c r="AB55" s="41">
        <v>3.45</v>
      </c>
      <c r="AC55" s="42">
        <v>172500.0</v>
      </c>
    </row>
    <row r="56">
      <c r="A56" s="30"/>
      <c r="B56" s="24"/>
      <c r="C56" s="11">
        <f>I56/E85</f>
        <v>0.008592291971</v>
      </c>
      <c r="D56" s="87" t="s">
        <v>109</v>
      </c>
      <c r="E56" s="12" t="s">
        <v>110</v>
      </c>
      <c r="F56" s="13">
        <v>7.8</v>
      </c>
      <c r="G56" s="32">
        <v>3000.0</v>
      </c>
      <c r="H56" s="15">
        <f t="shared" si="26"/>
        <v>258240</v>
      </c>
      <c r="I56" s="15">
        <f t="shared" si="31"/>
        <v>266280</v>
      </c>
      <c r="J56" s="16">
        <v>86.08</v>
      </c>
      <c r="K56" s="17">
        <f>IFERROR(__xludf.DUMMYFUNCTION("GOOGLEFINANCE(E56,""changepct"")"),-0.05)</f>
        <v>-0.05</v>
      </c>
      <c r="L56" s="20">
        <f>IFERROR(__xludf.DUMMYFUNCTION("googlefinance(E56,""price"")"),88.76)</f>
        <v>88.76</v>
      </c>
      <c r="M56" s="20"/>
      <c r="N56" s="20">
        <f t="shared" si="28"/>
        <v>2.68</v>
      </c>
      <c r="O56" s="21">
        <f t="shared" si="32"/>
        <v>0.031133829</v>
      </c>
      <c r="P56" s="88">
        <f t="shared" si="30"/>
        <v>8040</v>
      </c>
      <c r="Q56" s="11">
        <v>0.015</v>
      </c>
      <c r="R56" s="23"/>
      <c r="S56" s="19"/>
      <c r="T56" s="23"/>
      <c r="U56" s="23"/>
      <c r="V56" s="12"/>
      <c r="W56" s="47"/>
      <c r="X56" s="20"/>
      <c r="Y56" s="15"/>
      <c r="Z56" s="26"/>
      <c r="AA56" s="25"/>
      <c r="AB56" s="19"/>
      <c r="AC56" s="23"/>
    </row>
    <row r="57">
      <c r="A57" s="56"/>
      <c r="B57" s="57"/>
      <c r="C57" s="4" t="s">
        <v>67</v>
      </c>
      <c r="D57" s="57"/>
      <c r="E57" s="57"/>
      <c r="F57" s="57"/>
      <c r="G57" s="75"/>
      <c r="H57" s="59">
        <f t="shared" ref="H57:I57" si="33">SUM(H47:H56)</f>
        <v>2620900</v>
      </c>
      <c r="I57" s="60">
        <f t="shared" si="33"/>
        <v>3022495</v>
      </c>
      <c r="J57" s="61"/>
      <c r="K57" s="61"/>
      <c r="L57" s="61"/>
      <c r="M57" s="57"/>
      <c r="N57" s="57"/>
      <c r="O57" s="62">
        <f>(P57+T57+U57+R57)/H57</f>
        <v>0.2989412034</v>
      </c>
      <c r="P57" s="60">
        <f>SUM(P47:P56)</f>
        <v>745995</v>
      </c>
      <c r="Q57" s="57"/>
      <c r="R57" s="59">
        <f>SUM(R47:R56)</f>
        <v>0</v>
      </c>
      <c r="S57" s="57"/>
      <c r="T57" s="59">
        <f t="shared" ref="T57:U57" si="34">SUM(T47:T56)</f>
        <v>37500</v>
      </c>
      <c r="U57" s="59">
        <f t="shared" si="34"/>
        <v>0</v>
      </c>
      <c r="V57" s="4"/>
      <c r="W57" s="57"/>
      <c r="X57" s="61"/>
      <c r="Y57" s="59">
        <f>SUM(Y47:Y56)</f>
        <v>344400</v>
      </c>
      <c r="Z57" s="4" t="s">
        <v>67</v>
      </c>
      <c r="AA57" s="57"/>
      <c r="AB57" s="61"/>
      <c r="AC57" s="59">
        <f>SUM(AC47:AC56)</f>
        <v>172500</v>
      </c>
    </row>
    <row r="58">
      <c r="A58" s="56"/>
      <c r="B58" s="4" t="s">
        <v>111</v>
      </c>
      <c r="C58" s="4" t="s">
        <v>2</v>
      </c>
      <c r="D58" s="4" t="s">
        <v>112</v>
      </c>
      <c r="E58" s="4" t="s">
        <v>4</v>
      </c>
      <c r="F58" s="4" t="s">
        <v>5</v>
      </c>
      <c r="G58" s="4" t="s">
        <v>6</v>
      </c>
      <c r="H58" s="4" t="s">
        <v>7</v>
      </c>
      <c r="I58" s="5" t="s">
        <v>8</v>
      </c>
      <c r="J58" s="5" t="s">
        <v>9</v>
      </c>
      <c r="K58" s="6" t="s">
        <v>10</v>
      </c>
      <c r="L58" s="6" t="s">
        <v>11</v>
      </c>
      <c r="M58" s="7" t="s">
        <v>12</v>
      </c>
      <c r="N58" s="7" t="s">
        <v>13</v>
      </c>
      <c r="O58" s="4" t="s">
        <v>14</v>
      </c>
      <c r="P58" s="7" t="s">
        <v>15</v>
      </c>
      <c r="Q58" s="4" t="s">
        <v>16</v>
      </c>
      <c r="R58" s="4" t="s">
        <v>17</v>
      </c>
      <c r="S58" s="7" t="s">
        <v>18</v>
      </c>
      <c r="T58" s="4" t="s">
        <v>19</v>
      </c>
      <c r="U58" s="4" t="s">
        <v>69</v>
      </c>
      <c r="V58" s="4" t="s">
        <v>21</v>
      </c>
      <c r="W58" s="4" t="s">
        <v>22</v>
      </c>
      <c r="X58" s="9" t="s">
        <v>23</v>
      </c>
      <c r="Y58" s="9" t="s">
        <v>24</v>
      </c>
      <c r="Z58" s="4" t="s">
        <v>25</v>
      </c>
      <c r="AA58" s="4" t="s">
        <v>26</v>
      </c>
      <c r="AB58" s="4" t="s">
        <v>27</v>
      </c>
      <c r="AC58" s="4" t="s">
        <v>28</v>
      </c>
    </row>
    <row r="59">
      <c r="A59" s="64" t="s">
        <v>29</v>
      </c>
      <c r="B59" s="65">
        <f>I72/E85</f>
        <v>0.169941873</v>
      </c>
      <c r="C59" s="11">
        <f>I59/E85</f>
        <v>0.02224870555</v>
      </c>
      <c r="D59" s="12" t="s">
        <v>113</v>
      </c>
      <c r="E59" s="12" t="s">
        <v>114</v>
      </c>
      <c r="F59" s="13">
        <v>8.5</v>
      </c>
      <c r="G59" s="14">
        <v>250.0</v>
      </c>
      <c r="H59" s="15">
        <f t="shared" ref="H59:H71" si="35">G59*J59</f>
        <v>656000</v>
      </c>
      <c r="I59" s="15">
        <f t="shared" ref="I59:I64" si="36">H59+P59</f>
        <v>689500</v>
      </c>
      <c r="J59" s="16">
        <v>2624.0</v>
      </c>
      <c r="K59" s="90"/>
      <c r="L59" s="91">
        <v>2758.0</v>
      </c>
      <c r="M59" s="92"/>
      <c r="N59" s="93">
        <f t="shared" ref="N59:N71" si="37">L59-J59</f>
        <v>134</v>
      </c>
      <c r="O59" s="21">
        <f t="shared" ref="O59:O64" si="38">L59/J59-1</f>
        <v>0.05106707317</v>
      </c>
      <c r="P59" s="88">
        <f t="shared" ref="P59:P71" si="39">H59*O59</f>
        <v>33500</v>
      </c>
      <c r="Q59" s="28"/>
      <c r="R59" s="23"/>
      <c r="S59" s="19"/>
      <c r="T59" s="23"/>
      <c r="U59" s="24"/>
      <c r="V59" s="26"/>
      <c r="W59" s="24"/>
      <c r="X59" s="19"/>
      <c r="Y59" s="23"/>
      <c r="Z59" s="24"/>
      <c r="AA59" s="24"/>
      <c r="AB59" s="19"/>
      <c r="AC59" s="23"/>
    </row>
    <row r="60">
      <c r="A60" s="94" t="s">
        <v>115</v>
      </c>
      <c r="B60" s="95">
        <f>I59+I60</f>
        <v>998500</v>
      </c>
      <c r="C60" s="11">
        <f>I60/E85</f>
        <v>0.009970775946</v>
      </c>
      <c r="D60" s="12" t="s">
        <v>116</v>
      </c>
      <c r="E60" s="12" t="s">
        <v>117</v>
      </c>
      <c r="F60" s="13">
        <v>8.4</v>
      </c>
      <c r="G60" s="14">
        <v>10000.0</v>
      </c>
      <c r="H60" s="15">
        <f t="shared" si="35"/>
        <v>289000</v>
      </c>
      <c r="I60" s="15">
        <f t="shared" si="36"/>
        <v>309000</v>
      </c>
      <c r="J60" s="16">
        <v>28.9</v>
      </c>
      <c r="K60" s="90"/>
      <c r="L60" s="46">
        <v>30.9</v>
      </c>
      <c r="M60" s="19"/>
      <c r="N60" s="20">
        <f t="shared" si="37"/>
        <v>2</v>
      </c>
      <c r="O60" s="21">
        <f t="shared" si="38"/>
        <v>0.06920415225</v>
      </c>
      <c r="P60" s="15">
        <f t="shared" si="39"/>
        <v>20000</v>
      </c>
      <c r="Q60" s="28"/>
      <c r="R60" s="23"/>
      <c r="S60" s="19"/>
      <c r="T60" s="23"/>
      <c r="U60" s="24"/>
      <c r="V60" s="26"/>
      <c r="W60" s="24"/>
      <c r="X60" s="19"/>
      <c r="Y60" s="23"/>
      <c r="Z60" s="24"/>
      <c r="AA60" s="24"/>
      <c r="AB60" s="19"/>
      <c r="AC60" s="23"/>
    </row>
    <row r="61">
      <c r="A61" s="94" t="s">
        <v>118</v>
      </c>
      <c r="B61" s="96">
        <f>B60/E85</f>
        <v>0.0322194815</v>
      </c>
      <c r="C61" s="11">
        <f>I61/E85</f>
        <v>0.00918424629</v>
      </c>
      <c r="D61" s="12" t="s">
        <v>119</v>
      </c>
      <c r="E61" s="12" t="s">
        <v>120</v>
      </c>
      <c r="F61" s="13">
        <v>7.9</v>
      </c>
      <c r="G61" s="14">
        <v>7500.0</v>
      </c>
      <c r="H61" s="15">
        <f t="shared" si="35"/>
        <v>254325</v>
      </c>
      <c r="I61" s="15">
        <f t="shared" si="36"/>
        <v>284625</v>
      </c>
      <c r="J61" s="16">
        <v>33.91</v>
      </c>
      <c r="K61" s="97">
        <f>IFERROR(__xludf.DUMMYFUNCTION("GOOGLEFINANCE(E61,""changepct"")"),0.0)</f>
        <v>0</v>
      </c>
      <c r="L61" s="18">
        <f>IFERROR(__xludf.DUMMYFUNCTION("googlefinance(E61,""price"")"),37.95)</f>
        <v>37.95</v>
      </c>
      <c r="M61" s="19"/>
      <c r="N61" s="20">
        <f t="shared" si="37"/>
        <v>4.04</v>
      </c>
      <c r="O61" s="21">
        <f t="shared" si="38"/>
        <v>0.1191388971</v>
      </c>
      <c r="P61" s="15">
        <f t="shared" si="39"/>
        <v>30300</v>
      </c>
      <c r="Q61" s="11">
        <v>0.016</v>
      </c>
      <c r="R61" s="15"/>
      <c r="S61" s="19"/>
      <c r="T61" s="23"/>
      <c r="U61" s="24"/>
      <c r="V61" s="26"/>
      <c r="W61" s="25"/>
      <c r="X61" s="19"/>
      <c r="Y61" s="23"/>
      <c r="Z61" s="24"/>
      <c r="AA61" s="24"/>
      <c r="AB61" s="19"/>
      <c r="AC61" s="23"/>
    </row>
    <row r="62">
      <c r="A62" s="94" t="s">
        <v>121</v>
      </c>
      <c r="B62" s="95">
        <f>I62+I61+I71+I66+I63+I69+I68+I64+I70</f>
        <v>4268095</v>
      </c>
      <c r="C62" s="11">
        <f>I62/E85</f>
        <v>0.00614767713</v>
      </c>
      <c r="D62" s="12" t="s">
        <v>122</v>
      </c>
      <c r="E62" s="12" t="s">
        <v>123</v>
      </c>
      <c r="F62" s="13">
        <v>7.8</v>
      </c>
      <c r="G62" s="14">
        <v>4000.0</v>
      </c>
      <c r="H62" s="15">
        <f t="shared" si="35"/>
        <v>171000</v>
      </c>
      <c r="I62" s="15">
        <f t="shared" si="36"/>
        <v>190520</v>
      </c>
      <c r="J62" s="16">
        <v>42.75</v>
      </c>
      <c r="K62" s="97">
        <f>IFERROR(__xludf.DUMMYFUNCTION("GOOGLEFINANCE(E62,""changepct"")"),0.0)</f>
        <v>0</v>
      </c>
      <c r="L62" s="18">
        <f>IFERROR(__xludf.DUMMYFUNCTION("googlefinance(E62,""price"")"),47.63)</f>
        <v>47.63</v>
      </c>
      <c r="M62" s="19"/>
      <c r="N62" s="20">
        <f t="shared" si="37"/>
        <v>4.88</v>
      </c>
      <c r="O62" s="21">
        <f t="shared" si="38"/>
        <v>0.1141520468</v>
      </c>
      <c r="P62" s="15">
        <f t="shared" si="39"/>
        <v>19520</v>
      </c>
      <c r="Q62" s="11">
        <v>0.026</v>
      </c>
      <c r="R62" s="15"/>
      <c r="S62" s="19"/>
      <c r="T62" s="23"/>
      <c r="U62" s="24"/>
      <c r="V62" s="26"/>
      <c r="W62" s="25"/>
      <c r="X62" s="19"/>
      <c r="Y62" s="23"/>
      <c r="Z62" s="24"/>
      <c r="AA62" s="24"/>
      <c r="AB62" s="19"/>
      <c r="AC62" s="23"/>
    </row>
    <row r="63">
      <c r="A63" s="94" t="s">
        <v>124</v>
      </c>
      <c r="B63" s="96">
        <f>B62/E85</f>
        <v>0.1377223915</v>
      </c>
      <c r="C63" s="11">
        <f>I63/E85</f>
        <v>0.02902173426</v>
      </c>
      <c r="D63" s="12" t="s">
        <v>125</v>
      </c>
      <c r="E63" s="12" t="s">
        <v>126</v>
      </c>
      <c r="F63" s="31">
        <v>7.9</v>
      </c>
      <c r="G63" s="32">
        <v>10000.0</v>
      </c>
      <c r="H63" s="15">
        <f t="shared" si="35"/>
        <v>782100</v>
      </c>
      <c r="I63" s="15">
        <f t="shared" si="36"/>
        <v>899400</v>
      </c>
      <c r="J63" s="16">
        <v>78.21</v>
      </c>
      <c r="K63" s="97">
        <f>IFERROR(__xludf.DUMMYFUNCTION("GOOGLEFINANCE(E63,""changepct"")"),0.0)</f>
        <v>0</v>
      </c>
      <c r="L63" s="18">
        <f>IFERROR(__xludf.DUMMYFUNCTION("googlefinance(E63,""price"")"),89.94)</f>
        <v>89.94</v>
      </c>
      <c r="M63" s="19"/>
      <c r="N63" s="20">
        <f t="shared" si="37"/>
        <v>11.73</v>
      </c>
      <c r="O63" s="21">
        <f t="shared" si="38"/>
        <v>0.1499808209</v>
      </c>
      <c r="P63" s="15">
        <f t="shared" si="39"/>
        <v>117300</v>
      </c>
      <c r="Q63" s="11">
        <v>0.032</v>
      </c>
      <c r="R63" s="15"/>
      <c r="S63" s="19"/>
      <c r="T63" s="23"/>
      <c r="U63" s="24"/>
      <c r="V63" s="26"/>
      <c r="W63" s="24"/>
      <c r="X63" s="19"/>
      <c r="Y63" s="23"/>
      <c r="Z63" s="24"/>
      <c r="AA63" s="25"/>
      <c r="AB63" s="19"/>
      <c r="AC63" s="23"/>
    </row>
    <row r="64">
      <c r="A64" s="30"/>
      <c r="B64" s="24"/>
      <c r="C64" s="11">
        <f>I64/E85</f>
        <v>0.0271308363</v>
      </c>
      <c r="D64" s="12" t="s">
        <v>127</v>
      </c>
      <c r="E64" s="12" t="s">
        <v>128</v>
      </c>
      <c r="F64" s="31">
        <v>7.9</v>
      </c>
      <c r="G64" s="32">
        <v>20000.0</v>
      </c>
      <c r="H64" s="15">
        <f t="shared" si="35"/>
        <v>744400</v>
      </c>
      <c r="I64" s="15">
        <f t="shared" si="36"/>
        <v>840800</v>
      </c>
      <c r="J64" s="16">
        <v>37.22</v>
      </c>
      <c r="K64" s="97">
        <f>IFERROR(__xludf.DUMMYFUNCTION("GOOGLEFINANCE(E64,""changepct"")"),0.0)</f>
        <v>0</v>
      </c>
      <c r="L64" s="18">
        <f>IFERROR(__xludf.DUMMYFUNCTION("googlefinance(E64,""price"")"),42.04)</f>
        <v>42.04</v>
      </c>
      <c r="M64" s="19"/>
      <c r="N64" s="20">
        <f t="shared" si="37"/>
        <v>4.82</v>
      </c>
      <c r="O64" s="21">
        <f t="shared" si="38"/>
        <v>0.1295002687</v>
      </c>
      <c r="P64" s="15">
        <f t="shared" si="39"/>
        <v>96400</v>
      </c>
      <c r="Q64" s="11">
        <v>0.027</v>
      </c>
      <c r="R64" s="15"/>
      <c r="S64" s="19"/>
      <c r="T64" s="23"/>
      <c r="U64" s="24"/>
      <c r="V64" s="26"/>
      <c r="W64" s="25"/>
      <c r="X64" s="19"/>
      <c r="Y64" s="23"/>
      <c r="Z64" s="12"/>
      <c r="AA64" s="47"/>
      <c r="AB64" s="20"/>
      <c r="AC64" s="15"/>
    </row>
    <row r="65">
      <c r="A65" s="30"/>
      <c r="B65" s="24"/>
      <c r="C65" s="11">
        <f>I65/E85</f>
        <v>0</v>
      </c>
      <c r="D65" s="98" t="s">
        <v>129</v>
      </c>
      <c r="E65" s="12" t="s">
        <v>128</v>
      </c>
      <c r="F65" s="31">
        <v>7.9</v>
      </c>
      <c r="G65" s="32">
        <v>10000.0</v>
      </c>
      <c r="H65" s="15">
        <f t="shared" si="35"/>
        <v>372200</v>
      </c>
      <c r="I65" s="34">
        <v>0.0</v>
      </c>
      <c r="J65" s="16">
        <v>37.22</v>
      </c>
      <c r="K65" s="97">
        <f>IFERROR(__xludf.DUMMYFUNCTION("GOOGLEFINANCE(E65,""changepct"")"),0.0)</f>
        <v>0</v>
      </c>
      <c r="L65" s="18">
        <f>IFERROR(__xludf.DUMMYFUNCTION("googlefinance(E65,""price"")"),42.04)</f>
        <v>42.04</v>
      </c>
      <c r="M65" s="41">
        <v>42.0</v>
      </c>
      <c r="N65" s="20">
        <f t="shared" si="37"/>
        <v>4.82</v>
      </c>
      <c r="O65" s="21">
        <f>M65/J65-1</f>
        <v>0.1284255776</v>
      </c>
      <c r="P65" s="15">
        <f t="shared" si="39"/>
        <v>47800</v>
      </c>
      <c r="Q65" s="99">
        <v>0.027</v>
      </c>
      <c r="R65" s="15"/>
      <c r="S65" s="19"/>
      <c r="T65" s="23"/>
      <c r="U65" s="24"/>
      <c r="V65" s="44" t="s">
        <v>128</v>
      </c>
      <c r="W65" s="40">
        <v>45673.0</v>
      </c>
      <c r="X65" s="41">
        <v>42.0</v>
      </c>
      <c r="Y65" s="42">
        <v>420000.0</v>
      </c>
      <c r="Z65" s="24"/>
      <c r="AA65" s="25"/>
      <c r="AB65" s="19"/>
      <c r="AC65" s="23"/>
    </row>
    <row r="66">
      <c r="A66" s="30"/>
      <c r="B66" s="24"/>
      <c r="C66" s="11">
        <f>I66/E85</f>
        <v>0.01040961916</v>
      </c>
      <c r="D66" s="12" t="s">
        <v>130</v>
      </c>
      <c r="E66" s="12" t="s">
        <v>131</v>
      </c>
      <c r="F66" s="31">
        <v>7.6</v>
      </c>
      <c r="G66" s="32">
        <v>20000.0</v>
      </c>
      <c r="H66" s="15">
        <f t="shared" si="35"/>
        <v>310000</v>
      </c>
      <c r="I66" s="15">
        <f>H66+P66</f>
        <v>322600</v>
      </c>
      <c r="J66" s="16">
        <v>15.5</v>
      </c>
      <c r="K66" s="97">
        <f>IFERROR(__xludf.DUMMYFUNCTION("GOOGLEFINANCE(E66,""changepct"")"),-2.6)</f>
        <v>-2.6</v>
      </c>
      <c r="L66" s="18">
        <f>IFERROR(__xludf.DUMMYFUNCTION("googlefinance(E66,""price"")"),16.13)</f>
        <v>16.13</v>
      </c>
      <c r="M66" s="19"/>
      <c r="N66" s="20">
        <f t="shared" si="37"/>
        <v>0.63</v>
      </c>
      <c r="O66" s="21">
        <f>L66/J66-1</f>
        <v>0.04064516129</v>
      </c>
      <c r="P66" s="15">
        <f t="shared" si="39"/>
        <v>12600</v>
      </c>
      <c r="Q66" s="11">
        <v>0.0255</v>
      </c>
      <c r="R66" s="15"/>
      <c r="S66" s="19"/>
      <c r="T66" s="23"/>
      <c r="U66" s="24"/>
      <c r="V66" s="26"/>
      <c r="W66" s="25"/>
      <c r="X66" s="19"/>
      <c r="Y66" s="23"/>
      <c r="Z66" s="24"/>
      <c r="AA66" s="25"/>
      <c r="AB66" s="19"/>
      <c r="AC66" s="23"/>
    </row>
    <row r="67">
      <c r="A67" s="30"/>
      <c r="B67" s="24"/>
      <c r="C67" s="11">
        <f>I67/E85</f>
        <v>0</v>
      </c>
      <c r="D67" s="12" t="s">
        <v>130</v>
      </c>
      <c r="E67" s="12" t="s">
        <v>131</v>
      </c>
      <c r="F67" s="31">
        <v>7.6</v>
      </c>
      <c r="G67" s="32">
        <v>20000.0</v>
      </c>
      <c r="H67" s="15">
        <f t="shared" si="35"/>
        <v>310000</v>
      </c>
      <c r="I67" s="34">
        <v>0.0</v>
      </c>
      <c r="J67" s="16">
        <v>15.5</v>
      </c>
      <c r="K67" s="97">
        <f>IFERROR(__xludf.DUMMYFUNCTION("GOOGLEFINANCE(E67,""changepct"")"),-2.6)</f>
        <v>-2.6</v>
      </c>
      <c r="L67" s="18">
        <f>IFERROR(__xludf.DUMMYFUNCTION("googlefinance(E67,""price"")"),16.13)</f>
        <v>16.13</v>
      </c>
      <c r="M67" s="41">
        <v>15.88</v>
      </c>
      <c r="N67" s="20">
        <f t="shared" si="37"/>
        <v>0.63</v>
      </c>
      <c r="O67" s="21">
        <f>M67/J67-1</f>
        <v>0.02451612903</v>
      </c>
      <c r="P67" s="15">
        <f t="shared" si="39"/>
        <v>7600</v>
      </c>
      <c r="Q67" s="99">
        <v>0.0255</v>
      </c>
      <c r="R67" s="15"/>
      <c r="S67" s="19"/>
      <c r="T67" s="15"/>
      <c r="U67" s="24"/>
      <c r="V67" s="44" t="s">
        <v>131</v>
      </c>
      <c r="W67" s="40">
        <v>45673.0</v>
      </c>
      <c r="X67" s="41">
        <v>15.88</v>
      </c>
      <c r="Y67" s="42">
        <v>317600.0</v>
      </c>
      <c r="Z67" s="12"/>
      <c r="AA67" s="47"/>
      <c r="AB67" s="20"/>
      <c r="AC67" s="15"/>
    </row>
    <row r="68">
      <c r="A68" s="30"/>
      <c r="B68" s="24"/>
      <c r="C68" s="11">
        <f>I68/E85</f>
        <v>0.01446891888</v>
      </c>
      <c r="D68" s="12" t="s">
        <v>132</v>
      </c>
      <c r="E68" s="12" t="s">
        <v>133</v>
      </c>
      <c r="F68" s="31">
        <v>7.9</v>
      </c>
      <c r="G68" s="32">
        <v>20000.0</v>
      </c>
      <c r="H68" s="15">
        <f t="shared" si="35"/>
        <v>404400</v>
      </c>
      <c r="I68" s="15">
        <f t="shared" ref="I68:I71" si="40">H68+P68</f>
        <v>448400</v>
      </c>
      <c r="J68" s="16">
        <v>20.22</v>
      </c>
      <c r="K68" s="97">
        <f>IFERROR(__xludf.DUMMYFUNCTION("GOOGLEFINANCE(E68,""changepct"")"),0.0)</f>
        <v>0</v>
      </c>
      <c r="L68" s="18">
        <f>IFERROR(__xludf.DUMMYFUNCTION("googlefinance(E68,""price"")"),22.42)</f>
        <v>22.42</v>
      </c>
      <c r="M68" s="19"/>
      <c r="N68" s="20">
        <f t="shared" si="37"/>
        <v>2.2</v>
      </c>
      <c r="O68" s="21">
        <f t="shared" ref="O68:O71" si="41">L68/J68-1</f>
        <v>0.1088031652</v>
      </c>
      <c r="P68" s="15">
        <f t="shared" si="39"/>
        <v>44000</v>
      </c>
      <c r="Q68" s="11">
        <v>0.02</v>
      </c>
      <c r="R68" s="15"/>
      <c r="S68" s="19"/>
      <c r="T68" s="15"/>
      <c r="U68" s="24"/>
      <c r="V68" s="26"/>
      <c r="W68" s="25"/>
      <c r="X68" s="19"/>
      <c r="Y68" s="23"/>
      <c r="Z68" s="12"/>
      <c r="AA68" s="47"/>
      <c r="AB68" s="20"/>
      <c r="AC68" s="15"/>
    </row>
    <row r="69">
      <c r="A69" s="30"/>
      <c r="B69" s="24"/>
      <c r="C69" s="11">
        <f>I69/E85</f>
        <v>0.02745835531</v>
      </c>
      <c r="D69" s="87" t="s">
        <v>134</v>
      </c>
      <c r="E69" s="12" t="s">
        <v>135</v>
      </c>
      <c r="F69" s="31">
        <v>7.8</v>
      </c>
      <c r="G69" s="32">
        <v>155000.0</v>
      </c>
      <c r="H69" s="15">
        <f t="shared" si="35"/>
        <v>761050</v>
      </c>
      <c r="I69" s="15">
        <f t="shared" si="40"/>
        <v>850950</v>
      </c>
      <c r="J69" s="16">
        <v>4.91</v>
      </c>
      <c r="K69" s="97">
        <f>IFERROR(__xludf.DUMMYFUNCTION("GOOGLEFINANCE(E69,""changepct"")"),0.0)</f>
        <v>0</v>
      </c>
      <c r="L69" s="18">
        <f>IFERROR(__xludf.DUMMYFUNCTION("googlefinance(E69,""price"")"),5.49)</f>
        <v>5.49</v>
      </c>
      <c r="M69" s="19"/>
      <c r="N69" s="20">
        <f t="shared" si="37"/>
        <v>0.58</v>
      </c>
      <c r="O69" s="21">
        <f t="shared" si="41"/>
        <v>0.1181262729</v>
      </c>
      <c r="P69" s="15">
        <f t="shared" si="39"/>
        <v>89900</v>
      </c>
      <c r="Q69" s="11">
        <v>0.0045</v>
      </c>
      <c r="R69" s="15"/>
      <c r="S69" s="19"/>
      <c r="T69" s="23"/>
      <c r="U69" s="24"/>
      <c r="V69" s="26"/>
      <c r="W69" s="25"/>
      <c r="X69" s="19"/>
      <c r="Y69" s="23"/>
      <c r="Z69" s="12"/>
      <c r="AA69" s="47"/>
      <c r="AB69" s="20"/>
      <c r="AC69" s="15"/>
    </row>
    <row r="70">
      <c r="A70" s="30"/>
      <c r="B70" s="24"/>
      <c r="C70" s="11">
        <f>I70/E85</f>
        <v>0.007744291997</v>
      </c>
      <c r="D70" s="87" t="s">
        <v>136</v>
      </c>
      <c r="E70" s="12" t="s">
        <v>137</v>
      </c>
      <c r="F70" s="13">
        <v>7.7</v>
      </c>
      <c r="G70" s="14">
        <v>100000.0</v>
      </c>
      <c r="H70" s="15">
        <f t="shared" si="35"/>
        <v>244000</v>
      </c>
      <c r="I70" s="15">
        <f t="shared" si="40"/>
        <v>240000</v>
      </c>
      <c r="J70" s="16">
        <v>2.44</v>
      </c>
      <c r="K70" s="97">
        <f>IFERROR(__xludf.DUMMYFUNCTION("GOOGLEFINANCE(E70,""changepct"")"),0.0)</f>
        <v>0</v>
      </c>
      <c r="L70" s="18">
        <f>IFERROR(__xludf.DUMMYFUNCTION("googlefinance(E70,""price"")"),2.4)</f>
        <v>2.4</v>
      </c>
      <c r="M70" s="19"/>
      <c r="N70" s="20">
        <f t="shared" si="37"/>
        <v>-0.04</v>
      </c>
      <c r="O70" s="21">
        <f t="shared" si="41"/>
        <v>-0.01639344262</v>
      </c>
      <c r="P70" s="15">
        <f t="shared" si="39"/>
        <v>-4000</v>
      </c>
      <c r="Q70" s="11">
        <v>0.06</v>
      </c>
      <c r="R70" s="23"/>
      <c r="S70" s="19"/>
      <c r="T70" s="23"/>
      <c r="U70" s="24"/>
      <c r="V70" s="26"/>
      <c r="W70" s="25"/>
      <c r="X70" s="19"/>
      <c r="Y70" s="23"/>
      <c r="Z70" s="12"/>
      <c r="AA70" s="47"/>
      <c r="AB70" s="20"/>
      <c r="AC70" s="15"/>
    </row>
    <row r="71">
      <c r="A71" s="30"/>
      <c r="B71" s="24"/>
      <c r="C71" s="11">
        <f>I71/E85</f>
        <v>0.006156712138</v>
      </c>
      <c r="D71" s="87" t="s">
        <v>138</v>
      </c>
      <c r="E71" s="12" t="s">
        <v>139</v>
      </c>
      <c r="F71" s="31">
        <v>7.8</v>
      </c>
      <c r="G71" s="14">
        <v>15000.0</v>
      </c>
      <c r="H71" s="15">
        <f t="shared" si="35"/>
        <v>173100</v>
      </c>
      <c r="I71" s="15">
        <f t="shared" si="40"/>
        <v>190800</v>
      </c>
      <c r="J71" s="16">
        <v>11.54</v>
      </c>
      <c r="K71" s="97">
        <f>IFERROR(__xludf.DUMMYFUNCTION("GOOGLEFINANCE(E71,""changepct"")"),0.0)</f>
        <v>0</v>
      </c>
      <c r="L71" s="18">
        <f>IFERROR(__xludf.DUMMYFUNCTION("googlefinance(E71,""price"")"),12.72)</f>
        <v>12.72</v>
      </c>
      <c r="M71" s="19"/>
      <c r="N71" s="20">
        <f t="shared" si="37"/>
        <v>1.18</v>
      </c>
      <c r="O71" s="21">
        <f t="shared" si="41"/>
        <v>0.1022530329</v>
      </c>
      <c r="P71" s="15">
        <f t="shared" si="39"/>
        <v>17700</v>
      </c>
      <c r="Q71" s="11">
        <v>0.01</v>
      </c>
      <c r="R71" s="15"/>
      <c r="S71" s="19"/>
      <c r="T71" s="23"/>
      <c r="U71" s="24"/>
      <c r="V71" s="26"/>
      <c r="W71" s="25"/>
      <c r="X71" s="19"/>
      <c r="Y71" s="23"/>
      <c r="Z71" s="24"/>
      <c r="AA71" s="25"/>
      <c r="AB71" s="19"/>
      <c r="AC71" s="23"/>
    </row>
    <row r="72">
      <c r="A72" s="56"/>
      <c r="B72" s="57"/>
      <c r="C72" s="4" t="s">
        <v>67</v>
      </c>
      <c r="D72" s="57"/>
      <c r="E72" s="57"/>
      <c r="F72" s="57"/>
      <c r="G72" s="58"/>
      <c r="H72" s="59">
        <f t="shared" ref="H72:I72" si="42">SUM(H59:H71)</f>
        <v>5471575</v>
      </c>
      <c r="I72" s="60">
        <f t="shared" si="42"/>
        <v>5266595</v>
      </c>
      <c r="J72" s="61"/>
      <c r="K72" s="61"/>
      <c r="L72" s="57"/>
      <c r="M72" s="57"/>
      <c r="N72" s="57"/>
      <c r="O72" s="62">
        <f>P72/(I72+R72+T72)</f>
        <v>0.1011317559</v>
      </c>
      <c r="P72" s="60">
        <f>SUM(P59:P71)</f>
        <v>532620</v>
      </c>
      <c r="Q72" s="57"/>
      <c r="R72" s="59">
        <f>SUM(R59:R71)</f>
        <v>0</v>
      </c>
      <c r="S72" s="57"/>
      <c r="T72" s="59">
        <f>SUM(T59:T71)</f>
        <v>0</v>
      </c>
      <c r="U72" s="57"/>
      <c r="V72" s="4"/>
      <c r="W72" s="57"/>
      <c r="X72" s="61"/>
      <c r="Y72" s="59">
        <f>SUM(Y59:Y71)</f>
        <v>737600</v>
      </c>
      <c r="Z72" s="4" t="s">
        <v>67</v>
      </c>
      <c r="AA72" s="57"/>
      <c r="AB72" s="57"/>
      <c r="AC72" s="59">
        <f>SUM(AC59:AC71)</f>
        <v>0</v>
      </c>
    </row>
    <row r="73">
      <c r="A73" s="56"/>
      <c r="B73" s="4" t="s">
        <v>140</v>
      </c>
      <c r="C73" s="4" t="s">
        <v>2</v>
      </c>
      <c r="D73" s="4" t="s">
        <v>141</v>
      </c>
      <c r="E73" s="4" t="s">
        <v>4</v>
      </c>
      <c r="F73" s="4" t="s">
        <v>5</v>
      </c>
      <c r="G73" s="4" t="s">
        <v>142</v>
      </c>
      <c r="H73" s="4" t="s">
        <v>7</v>
      </c>
      <c r="I73" s="5" t="s">
        <v>8</v>
      </c>
      <c r="J73" s="5" t="s">
        <v>9</v>
      </c>
      <c r="K73" s="6" t="s">
        <v>10</v>
      </c>
      <c r="L73" s="6" t="s">
        <v>11</v>
      </c>
      <c r="M73" s="7" t="s">
        <v>12</v>
      </c>
      <c r="N73" s="7" t="s">
        <v>13</v>
      </c>
      <c r="O73" s="4" t="s">
        <v>14</v>
      </c>
      <c r="P73" s="7" t="s">
        <v>15</v>
      </c>
      <c r="Q73" s="4" t="s">
        <v>143</v>
      </c>
      <c r="R73" s="4" t="s">
        <v>17</v>
      </c>
      <c r="S73" s="7" t="s">
        <v>18</v>
      </c>
      <c r="T73" s="4" t="s">
        <v>19</v>
      </c>
      <c r="U73" s="4" t="s">
        <v>19</v>
      </c>
      <c r="V73" s="4" t="s">
        <v>21</v>
      </c>
      <c r="W73" s="4" t="s">
        <v>22</v>
      </c>
      <c r="X73" s="9" t="s">
        <v>23</v>
      </c>
      <c r="Y73" s="9" t="s">
        <v>24</v>
      </c>
      <c r="Z73" s="4" t="s">
        <v>25</v>
      </c>
      <c r="AA73" s="4" t="s">
        <v>26</v>
      </c>
      <c r="AB73" s="4" t="s">
        <v>27</v>
      </c>
      <c r="AC73" s="4" t="s">
        <v>28</v>
      </c>
    </row>
    <row r="74">
      <c r="A74" s="64" t="s">
        <v>29</v>
      </c>
      <c r="B74" s="65">
        <f>I78/E85</f>
        <v>0.02557875111</v>
      </c>
      <c r="C74" s="11">
        <f>I74/E85</f>
        <v>0.009602922076</v>
      </c>
      <c r="D74" s="100" t="s">
        <v>144</v>
      </c>
      <c r="E74" s="12" t="s">
        <v>145</v>
      </c>
      <c r="F74" s="13">
        <v>7.9</v>
      </c>
      <c r="G74" s="14">
        <v>3.0</v>
      </c>
      <c r="H74" s="15">
        <f t="shared" ref="H74:H77" si="43">G74*J74</f>
        <v>281175</v>
      </c>
      <c r="I74" s="15">
        <f t="shared" ref="I74:I77" si="44">H74+P74</f>
        <v>297600</v>
      </c>
      <c r="J74" s="34">
        <v>93725.0</v>
      </c>
      <c r="K74" s="101"/>
      <c r="L74" s="102">
        <v>99200.0</v>
      </c>
      <c r="M74" s="92"/>
      <c r="N74" s="103">
        <f t="shared" ref="N74:N77" si="45">L74-J74</f>
        <v>5475</v>
      </c>
      <c r="O74" s="104">
        <f t="shared" ref="O74:O77" si="46">L74/J74-1</f>
        <v>0.05841557749</v>
      </c>
      <c r="P74" s="105">
        <f t="shared" ref="P74:P77" si="47">H74*O74</f>
        <v>16425</v>
      </c>
      <c r="Q74" s="24"/>
      <c r="R74" s="24"/>
      <c r="S74" s="23"/>
      <c r="T74" s="24"/>
      <c r="U74" s="24"/>
      <c r="V74" s="24"/>
      <c r="W74" s="25"/>
      <c r="X74" s="23"/>
      <c r="Y74" s="23"/>
      <c r="Z74" s="106"/>
      <c r="AA74" s="107"/>
      <c r="AB74" s="108"/>
      <c r="AC74" s="108"/>
    </row>
    <row r="75">
      <c r="A75" s="30"/>
      <c r="B75" s="24"/>
      <c r="C75" s="11">
        <f>I75/E85</f>
        <v>0.006501978489</v>
      </c>
      <c r="D75" s="98" t="s">
        <v>146</v>
      </c>
      <c r="E75" s="38" t="s">
        <v>147</v>
      </c>
      <c r="F75" s="31">
        <v>7.7</v>
      </c>
      <c r="G75" s="32">
        <v>500.0</v>
      </c>
      <c r="H75" s="15">
        <f t="shared" si="43"/>
        <v>241500</v>
      </c>
      <c r="I75" s="15">
        <f t="shared" si="44"/>
        <v>201500</v>
      </c>
      <c r="J75" s="34">
        <v>483.0</v>
      </c>
      <c r="K75" s="101"/>
      <c r="L75" s="102">
        <v>403.0</v>
      </c>
      <c r="M75" s="92"/>
      <c r="N75" s="103">
        <f t="shared" si="45"/>
        <v>-80</v>
      </c>
      <c r="O75" s="104">
        <f t="shared" si="46"/>
        <v>-0.16563147</v>
      </c>
      <c r="P75" s="105">
        <f t="shared" si="47"/>
        <v>-40000</v>
      </c>
      <c r="Q75" s="24"/>
      <c r="R75" s="24"/>
      <c r="S75" s="23"/>
      <c r="T75" s="24"/>
      <c r="U75" s="24"/>
      <c r="V75" s="24"/>
      <c r="W75" s="25"/>
      <c r="X75" s="23"/>
      <c r="Y75" s="23"/>
      <c r="Z75" s="109" t="s">
        <v>148</v>
      </c>
      <c r="AA75" s="110">
        <v>45674.0</v>
      </c>
      <c r="AB75" s="111">
        <v>483.0</v>
      </c>
      <c r="AC75" s="42">
        <v>241500.0</v>
      </c>
    </row>
    <row r="76">
      <c r="A76" s="30"/>
      <c r="B76" s="24"/>
      <c r="C76" s="11">
        <f>I76/E85</f>
        <v>0.004533637607</v>
      </c>
      <c r="D76" s="98" t="s">
        <v>149</v>
      </c>
      <c r="E76" s="38" t="s">
        <v>150</v>
      </c>
      <c r="F76" s="31">
        <v>7.5</v>
      </c>
      <c r="G76" s="32">
        <v>25000.0</v>
      </c>
      <c r="H76" s="15">
        <f t="shared" si="43"/>
        <v>183250</v>
      </c>
      <c r="I76" s="15">
        <f t="shared" si="44"/>
        <v>140500</v>
      </c>
      <c r="J76" s="112">
        <v>7.33</v>
      </c>
      <c r="K76" s="101"/>
      <c r="L76" s="113">
        <v>5.62</v>
      </c>
      <c r="M76" s="92"/>
      <c r="N76" s="103">
        <f t="shared" si="45"/>
        <v>-1.71</v>
      </c>
      <c r="O76" s="104">
        <f t="shared" si="46"/>
        <v>-0.2332878581</v>
      </c>
      <c r="P76" s="105">
        <f t="shared" si="47"/>
        <v>-42750</v>
      </c>
      <c r="Q76" s="24"/>
      <c r="R76" s="24"/>
      <c r="S76" s="23"/>
      <c r="T76" s="24"/>
      <c r="U76" s="24"/>
      <c r="V76" s="24"/>
      <c r="W76" s="25"/>
      <c r="X76" s="23"/>
      <c r="Y76" s="23"/>
      <c r="Z76" s="109" t="s">
        <v>151</v>
      </c>
      <c r="AA76" s="110">
        <v>45674.0</v>
      </c>
      <c r="AB76" s="111">
        <v>7.33</v>
      </c>
      <c r="AC76" s="42">
        <v>183250.0</v>
      </c>
    </row>
    <row r="77">
      <c r="A77" s="30"/>
      <c r="B77" s="24"/>
      <c r="C77" s="11">
        <f>I77/E85</f>
        <v>0.004940212936</v>
      </c>
      <c r="D77" s="12" t="s">
        <v>152</v>
      </c>
      <c r="E77" s="35" t="s">
        <v>153</v>
      </c>
      <c r="F77" s="13">
        <v>7.8</v>
      </c>
      <c r="G77" s="14">
        <v>50.0</v>
      </c>
      <c r="H77" s="15">
        <f t="shared" si="43"/>
        <v>167000</v>
      </c>
      <c r="I77" s="15">
        <f t="shared" si="44"/>
        <v>153100</v>
      </c>
      <c r="J77" s="34">
        <v>3340.0</v>
      </c>
      <c r="K77" s="101"/>
      <c r="L77" s="102">
        <v>3062.0</v>
      </c>
      <c r="M77" s="92"/>
      <c r="N77" s="103">
        <f t="shared" si="45"/>
        <v>-278</v>
      </c>
      <c r="O77" s="104">
        <f t="shared" si="46"/>
        <v>-0.08323353293</v>
      </c>
      <c r="P77" s="105">
        <f t="shared" si="47"/>
        <v>-13900</v>
      </c>
      <c r="Q77" s="24"/>
      <c r="R77" s="24"/>
      <c r="S77" s="23"/>
      <c r="T77" s="24"/>
      <c r="U77" s="24"/>
      <c r="V77" s="24"/>
      <c r="W77" s="25"/>
      <c r="X77" s="23"/>
      <c r="Y77" s="23"/>
      <c r="Z77" s="106"/>
      <c r="AA77" s="107"/>
      <c r="AB77" s="114"/>
      <c r="AC77" s="23"/>
    </row>
    <row r="78">
      <c r="A78" s="56"/>
      <c r="B78" s="57"/>
      <c r="C78" s="4" t="s">
        <v>67</v>
      </c>
      <c r="D78" s="57"/>
      <c r="E78" s="57"/>
      <c r="F78" s="57"/>
      <c r="G78" s="58"/>
      <c r="H78" s="59">
        <f t="shared" ref="H78:I78" si="48">SUM(H74:H77)</f>
        <v>872925</v>
      </c>
      <c r="I78" s="59">
        <f t="shared" si="48"/>
        <v>792700</v>
      </c>
      <c r="J78" s="61"/>
      <c r="K78" s="57"/>
      <c r="L78" s="57"/>
      <c r="M78" s="57"/>
      <c r="N78" s="57"/>
      <c r="O78" s="77">
        <f>F83</f>
        <v>-0.1790037374</v>
      </c>
      <c r="P78" s="59">
        <f>SUM(P74:P77)</f>
        <v>-80225</v>
      </c>
      <c r="Q78" s="57"/>
      <c r="R78" s="57"/>
      <c r="S78" s="115"/>
      <c r="T78" s="59">
        <f>SUM(T74:T77)</f>
        <v>0</v>
      </c>
      <c r="U78" s="57"/>
      <c r="V78" s="4"/>
      <c r="W78" s="57"/>
      <c r="X78" s="61"/>
      <c r="Y78" s="59">
        <f>SUM(Y74:Y77)</f>
        <v>0</v>
      </c>
      <c r="Z78" s="4" t="s">
        <v>67</v>
      </c>
      <c r="AA78" s="57"/>
      <c r="AB78" s="58"/>
      <c r="AC78" s="59">
        <f>SUM(AC74:AC77)</f>
        <v>424750</v>
      </c>
    </row>
    <row r="79">
      <c r="A79" s="3" t="s">
        <v>154</v>
      </c>
      <c r="B79" s="4" t="s">
        <v>155</v>
      </c>
      <c r="C79" s="4" t="s">
        <v>156</v>
      </c>
      <c r="D79" s="4" t="s">
        <v>157</v>
      </c>
      <c r="E79" s="4" t="s">
        <v>158</v>
      </c>
      <c r="F79" s="4" t="s">
        <v>14</v>
      </c>
      <c r="G79" s="4" t="s">
        <v>159</v>
      </c>
      <c r="H79" s="4" t="s">
        <v>160</v>
      </c>
      <c r="I79" s="4" t="s">
        <v>161</v>
      </c>
      <c r="J79" s="4" t="s">
        <v>162</v>
      </c>
      <c r="K79" s="4" t="s">
        <v>163</v>
      </c>
      <c r="L79" s="57"/>
      <c r="M79" s="57"/>
      <c r="N79" s="57"/>
      <c r="O79" s="57"/>
      <c r="P79" s="57"/>
      <c r="Q79" s="57"/>
      <c r="R79" s="116"/>
      <c r="S79" s="117"/>
      <c r="T79" s="118"/>
      <c r="U79" s="116"/>
      <c r="V79" s="116"/>
      <c r="W79" s="116"/>
      <c r="X79" s="116"/>
      <c r="Y79" s="116"/>
      <c r="Z79" s="116"/>
      <c r="AA79" s="116"/>
      <c r="AB79" s="116"/>
      <c r="AC79" s="116"/>
    </row>
    <row r="80">
      <c r="A80" s="94" t="s">
        <v>164</v>
      </c>
      <c r="B80" s="11">
        <f>B4</f>
        <v>0.5589060858</v>
      </c>
      <c r="C80" s="15">
        <f>H24</f>
        <v>16676634</v>
      </c>
      <c r="D80" s="34">
        <v>1.5840934E7</v>
      </c>
      <c r="E80" s="15">
        <f>I24</f>
        <v>17320816.5</v>
      </c>
      <c r="F80" s="21">
        <f t="shared" ref="F80:G80" si="49">O24</f>
        <v>0.03867499549</v>
      </c>
      <c r="G80" s="119">
        <f t="shared" si="49"/>
        <v>644182.5</v>
      </c>
      <c r="H80" s="119">
        <f>T72+T57+T45+T39+T33+T24</f>
        <v>63200</v>
      </c>
      <c r="I80" s="119">
        <f>R72+R57+R24</f>
        <v>0</v>
      </c>
      <c r="J80" s="119">
        <f>AB97</f>
        <v>0</v>
      </c>
      <c r="K80" s="119">
        <f>G80+H80+G82+I80+J80+G81</f>
        <v>2166612.5</v>
      </c>
      <c r="L80" s="24"/>
      <c r="M80" s="24"/>
      <c r="N80" s="24"/>
      <c r="O80" s="24"/>
      <c r="P80" s="24"/>
      <c r="Q80" s="24"/>
      <c r="R80" s="116"/>
      <c r="S80" s="117"/>
      <c r="T80" s="116"/>
      <c r="U80" s="116"/>
      <c r="V80" s="116"/>
      <c r="W80" s="116"/>
      <c r="X80" s="116"/>
      <c r="Y80" s="116"/>
      <c r="Z80" s="116"/>
      <c r="AA80" s="116"/>
      <c r="AB80" s="116"/>
      <c r="AC80" s="116"/>
    </row>
    <row r="81">
      <c r="A81" s="120" t="s">
        <v>165</v>
      </c>
      <c r="B81" s="11">
        <f>(I33+I57+I45+I39)/E85</f>
        <v>0.2238713316</v>
      </c>
      <c r="C81" s="15">
        <f>H33+H57+H39+H45</f>
        <v>7440467.5</v>
      </c>
      <c r="D81" s="34">
        <v>7058468.0</v>
      </c>
      <c r="E81" s="15">
        <f>I33+I57+I39+I45</f>
        <v>6937899.5</v>
      </c>
      <c r="F81" s="21">
        <f>G81/E81</f>
        <v>0.1335577144</v>
      </c>
      <c r="G81" s="119">
        <f>P33+P57</f>
        <v>926610</v>
      </c>
      <c r="H81" s="121"/>
      <c r="I81" s="121"/>
      <c r="J81" s="121"/>
      <c r="K81" s="122">
        <f>K80/(D81+D82+D80)</f>
        <v>0.07636721499</v>
      </c>
      <c r="L81" s="24"/>
      <c r="M81" s="24"/>
      <c r="N81" s="24"/>
      <c r="O81" s="24"/>
      <c r="P81" s="24"/>
      <c r="Q81" s="24"/>
      <c r="R81" s="116"/>
      <c r="S81" s="117"/>
      <c r="T81" s="116"/>
      <c r="U81" s="116"/>
      <c r="V81" s="116"/>
      <c r="W81" s="116"/>
      <c r="X81" s="116"/>
      <c r="Y81" s="116"/>
      <c r="Z81" s="116"/>
      <c r="AA81" s="116"/>
      <c r="AB81" s="116"/>
      <c r="AC81" s="116"/>
    </row>
    <row r="82">
      <c r="A82" s="94" t="s">
        <v>166</v>
      </c>
      <c r="B82" s="11">
        <f>E82/E85</f>
        <v>0.169941873</v>
      </c>
      <c r="C82" s="15">
        <f>H72</f>
        <v>5471575</v>
      </c>
      <c r="D82" s="34">
        <v>5471575.0</v>
      </c>
      <c r="E82" s="15">
        <f>I72</f>
        <v>5266595</v>
      </c>
      <c r="F82" s="21">
        <f t="shared" ref="F82:G82" si="50">O72</f>
        <v>0.1011317559</v>
      </c>
      <c r="G82" s="119">
        <f t="shared" si="50"/>
        <v>532620</v>
      </c>
      <c r="H82" s="123"/>
      <c r="I82" s="123"/>
      <c r="J82" s="123"/>
      <c r="K82" s="123"/>
      <c r="L82" s="24"/>
      <c r="M82" s="24"/>
      <c r="N82" s="24"/>
      <c r="O82" s="24"/>
      <c r="P82" s="24"/>
      <c r="Q82" s="24"/>
      <c r="R82" s="116"/>
      <c r="S82" s="117"/>
      <c r="T82" s="116"/>
      <c r="U82" s="116"/>
      <c r="V82" s="116"/>
      <c r="W82" s="116"/>
      <c r="X82" s="116"/>
      <c r="Y82" s="116"/>
      <c r="Z82" s="116"/>
      <c r="AA82" s="116"/>
      <c r="AB82" s="116"/>
      <c r="AC82" s="116"/>
    </row>
    <row r="83">
      <c r="A83" s="94" t="s">
        <v>167</v>
      </c>
      <c r="B83" s="11">
        <f>E83/E85</f>
        <v>0.02557875111</v>
      </c>
      <c r="C83" s="15">
        <f>H78</f>
        <v>872925</v>
      </c>
      <c r="D83" s="34">
        <v>448175.0</v>
      </c>
      <c r="E83" s="15">
        <f>I78</f>
        <v>792700</v>
      </c>
      <c r="F83" s="21">
        <f>G83/D83</f>
        <v>-0.1790037374</v>
      </c>
      <c r="G83" s="119">
        <f>P78</f>
        <v>-80225</v>
      </c>
      <c r="H83" s="124"/>
      <c r="I83" s="124"/>
      <c r="J83" s="124"/>
      <c r="K83" s="124"/>
      <c r="L83" s="24"/>
      <c r="M83" s="24"/>
      <c r="N83" s="24"/>
      <c r="O83" s="24"/>
      <c r="P83" s="24"/>
      <c r="Q83" s="24"/>
      <c r="R83" s="116"/>
      <c r="S83" s="117"/>
      <c r="T83" s="116"/>
      <c r="U83" s="116"/>
      <c r="V83" s="116"/>
      <c r="W83" s="116"/>
      <c r="X83" s="116"/>
      <c r="Y83" s="116"/>
      <c r="Z83" s="116"/>
      <c r="AA83" s="116"/>
      <c r="AB83" s="116"/>
      <c r="AC83" s="116"/>
    </row>
    <row r="84">
      <c r="A84" s="94" t="s">
        <v>168</v>
      </c>
      <c r="B84" s="11">
        <f>E84/E85</f>
        <v>0.02170195853</v>
      </c>
      <c r="C84" s="125" t="s">
        <v>143</v>
      </c>
      <c r="D84" s="126">
        <v>-26869.0</v>
      </c>
      <c r="E84" s="126">
        <f>D84+(G84)+(Y24+Y33+Y39+Y45+Y57+Y72+Y78)-(AC78+AC72+AC57+AC45+AC39+AC33+AC24)</f>
        <v>672556</v>
      </c>
      <c r="F84" s="127" t="s">
        <v>143</v>
      </c>
      <c r="G84" s="119">
        <f>H80+I80+J80</f>
        <v>63200</v>
      </c>
      <c r="H84" s="128" t="s">
        <v>169</v>
      </c>
      <c r="I84" s="129" t="s">
        <v>170</v>
      </c>
      <c r="J84" s="129" t="s">
        <v>171</v>
      </c>
      <c r="K84" s="128" t="s">
        <v>172</v>
      </c>
      <c r="L84" s="24"/>
      <c r="M84" s="24"/>
      <c r="N84" s="24"/>
      <c r="O84" s="24"/>
      <c r="P84" s="24"/>
      <c r="Q84" s="24"/>
      <c r="R84" s="116"/>
      <c r="S84" s="117"/>
      <c r="T84" s="116"/>
      <c r="U84" s="116"/>
      <c r="V84" s="116"/>
      <c r="W84" s="116"/>
      <c r="X84" s="116"/>
      <c r="Y84" s="116"/>
      <c r="Z84" s="116"/>
      <c r="AA84" s="116"/>
      <c r="AB84" s="116"/>
      <c r="AC84" s="116"/>
    </row>
    <row r="85">
      <c r="A85" s="3" t="s">
        <v>173</v>
      </c>
      <c r="B85" s="77">
        <v>1.0</v>
      </c>
      <c r="C85" s="59" t="s">
        <v>143</v>
      </c>
      <c r="D85" s="59">
        <f t="shared" ref="D85:E85" si="51">SUM(D80:D84)</f>
        <v>28792283</v>
      </c>
      <c r="E85" s="59">
        <f t="shared" si="51"/>
        <v>30990567</v>
      </c>
      <c r="F85" s="21">
        <f>G85/D85</f>
        <v>0.07246342709</v>
      </c>
      <c r="G85" s="59">
        <f>SUM(G80:G84)</f>
        <v>2086387.5</v>
      </c>
      <c r="H85" s="130">
        <v>2.8792283E7</v>
      </c>
      <c r="I85" s="131">
        <f>E85</f>
        <v>30990567</v>
      </c>
      <c r="J85" s="59">
        <f>G85</f>
        <v>2086387.5</v>
      </c>
      <c r="K85" s="21">
        <f>J85/H85</f>
        <v>0.07246342709</v>
      </c>
      <c r="L85" s="57"/>
      <c r="M85" s="57"/>
      <c r="N85" s="57"/>
      <c r="O85" s="57"/>
      <c r="P85" s="57"/>
      <c r="Q85" s="57"/>
      <c r="R85" s="116"/>
      <c r="S85" s="117"/>
      <c r="T85" s="116"/>
      <c r="U85" s="116"/>
      <c r="V85" s="116"/>
      <c r="W85" s="116"/>
      <c r="X85" s="116"/>
      <c r="Y85" s="116"/>
      <c r="Z85" s="116"/>
      <c r="AA85" s="116"/>
      <c r="AB85" s="116"/>
      <c r="AC85" s="116"/>
    </row>
    <row r="86">
      <c r="A86" s="132" t="s">
        <v>174</v>
      </c>
      <c r="B86" s="133"/>
      <c r="C86" s="134"/>
      <c r="D86" s="134"/>
      <c r="E86" s="134"/>
      <c r="F86" s="134"/>
      <c r="G86" s="116"/>
      <c r="H86" s="116"/>
      <c r="I86" s="116"/>
      <c r="J86" s="116"/>
      <c r="K86" s="116"/>
      <c r="L86" s="116"/>
      <c r="M86" s="116"/>
      <c r="N86" s="116"/>
      <c r="O86" s="116"/>
      <c r="P86" s="116"/>
      <c r="Q86" s="116"/>
      <c r="R86" s="116"/>
      <c r="S86" s="117"/>
      <c r="T86" s="117"/>
      <c r="U86" s="117"/>
      <c r="V86" s="117"/>
      <c r="W86" s="117"/>
      <c r="X86" s="117"/>
      <c r="Y86" s="117"/>
      <c r="Z86" s="117"/>
      <c r="AA86" s="117"/>
      <c r="AB86" s="117"/>
      <c r="AC86" s="116"/>
    </row>
    <row r="87">
      <c r="A87" s="135" t="s">
        <v>175</v>
      </c>
      <c r="B87" s="136"/>
      <c r="C87" s="137" t="s">
        <v>176</v>
      </c>
      <c r="D87" s="138" t="s">
        <v>177</v>
      </c>
      <c r="E87" s="138" t="s">
        <v>178</v>
      </c>
      <c r="F87" s="139" t="s">
        <v>179</v>
      </c>
      <c r="G87" s="117"/>
      <c r="H87" s="140" t="s">
        <v>180</v>
      </c>
      <c r="I87" s="140" t="s">
        <v>181</v>
      </c>
      <c r="J87" s="140" t="s">
        <v>182</v>
      </c>
      <c r="K87" s="140" t="s">
        <v>183</v>
      </c>
      <c r="L87" s="140" t="s">
        <v>184</v>
      </c>
      <c r="M87" s="140" t="s">
        <v>185</v>
      </c>
      <c r="N87" s="140" t="s">
        <v>186</v>
      </c>
      <c r="O87" s="140" t="s">
        <v>187</v>
      </c>
      <c r="P87" s="140" t="s">
        <v>188</v>
      </c>
      <c r="Q87" s="140" t="s">
        <v>189</v>
      </c>
      <c r="R87" s="116"/>
      <c r="S87" s="140" t="s">
        <v>190</v>
      </c>
      <c r="T87" s="140" t="s">
        <v>181</v>
      </c>
      <c r="U87" s="140" t="s">
        <v>191</v>
      </c>
      <c r="V87" s="140" t="s">
        <v>183</v>
      </c>
      <c r="W87" s="140" t="s">
        <v>184</v>
      </c>
      <c r="X87" s="140" t="s">
        <v>185</v>
      </c>
      <c r="Y87" s="140" t="s">
        <v>186</v>
      </c>
      <c r="Z87" s="140" t="s">
        <v>187</v>
      </c>
      <c r="AA87" s="140" t="s">
        <v>188</v>
      </c>
      <c r="AB87" s="140" t="s">
        <v>189</v>
      </c>
      <c r="AC87" s="116"/>
    </row>
    <row r="88">
      <c r="A88" s="94" t="s">
        <v>192</v>
      </c>
      <c r="B88" s="12" t="s">
        <v>193</v>
      </c>
      <c r="C88" s="141">
        <v>42544.0</v>
      </c>
      <c r="D88" s="142">
        <f>IFERROR(__xludf.DUMMYFUNCTION("googlefinance(B88,""price"")"),44424.25)</f>
        <v>44424.25</v>
      </c>
      <c r="E88" s="143">
        <f t="shared" ref="E88:E92" si="52">D88-C88</f>
        <v>1880.25</v>
      </c>
      <c r="F88" s="144">
        <f t="shared" ref="F88:F92" si="53">D88/C88-1</f>
        <v>0.04419542121</v>
      </c>
      <c r="G88" s="145"/>
      <c r="H88" s="146">
        <v>10000.0</v>
      </c>
      <c r="I88" s="106" t="s">
        <v>42</v>
      </c>
      <c r="J88" s="147">
        <v>45630.0</v>
      </c>
      <c r="K88" s="147">
        <v>45674.0</v>
      </c>
      <c r="L88" s="148">
        <v>72.5</v>
      </c>
      <c r="M88" s="148">
        <v>3.4</v>
      </c>
      <c r="N88" s="149">
        <v>34000.0</v>
      </c>
      <c r="O88" s="110">
        <v>45664.0</v>
      </c>
      <c r="P88" s="150">
        <v>2.3</v>
      </c>
      <c r="Q88" s="151">
        <v>11000.0</v>
      </c>
      <c r="R88" s="116"/>
      <c r="S88" s="1"/>
      <c r="T88" s="133"/>
      <c r="U88" s="107"/>
      <c r="V88" s="107"/>
      <c r="W88" s="114"/>
      <c r="X88" s="152"/>
      <c r="Y88" s="108"/>
      <c r="Z88" s="107"/>
      <c r="AA88" s="152"/>
      <c r="AB88" s="108"/>
      <c r="AC88" s="116"/>
    </row>
    <row r="89">
      <c r="A89" s="94" t="s">
        <v>194</v>
      </c>
      <c r="B89" s="12" t="s">
        <v>195</v>
      </c>
      <c r="C89" s="141">
        <v>5882.0</v>
      </c>
      <c r="D89" s="142">
        <f>IFERROR(__xludf.DUMMYFUNCTION("googlefinance(B89,""price"")"),6101.24)</f>
        <v>6101.24</v>
      </c>
      <c r="E89" s="143">
        <f t="shared" si="52"/>
        <v>219.24</v>
      </c>
      <c r="F89" s="144">
        <f t="shared" si="53"/>
        <v>0.03727303638</v>
      </c>
      <c r="G89" s="145"/>
      <c r="H89" s="153">
        <v>10000.0</v>
      </c>
      <c r="I89" s="109" t="s">
        <v>103</v>
      </c>
      <c r="J89" s="154">
        <v>45660.0</v>
      </c>
      <c r="K89" s="154">
        <v>45709.0</v>
      </c>
      <c r="L89" s="155">
        <v>30.0</v>
      </c>
      <c r="M89" s="155">
        <v>3.5</v>
      </c>
      <c r="N89" s="151">
        <v>35000.0</v>
      </c>
      <c r="O89" s="154">
        <v>45667.0</v>
      </c>
      <c r="P89" s="155">
        <v>2.19</v>
      </c>
      <c r="Q89" s="151">
        <v>13100.0</v>
      </c>
      <c r="R89" s="116"/>
      <c r="S89" s="1"/>
      <c r="T89" s="133"/>
      <c r="U89" s="107"/>
      <c r="V89" s="107"/>
      <c r="W89" s="114"/>
      <c r="X89" s="152"/>
      <c r="Y89" s="108"/>
      <c r="Z89" s="107"/>
      <c r="AA89" s="152"/>
      <c r="AB89" s="108"/>
      <c r="AC89" s="116"/>
    </row>
    <row r="90">
      <c r="A90" s="94" t="s">
        <v>196</v>
      </c>
      <c r="B90" s="12" t="s">
        <v>197</v>
      </c>
      <c r="C90" s="141">
        <v>19311.0</v>
      </c>
      <c r="D90" s="142">
        <f>IFERROR(__xludf.DUMMYFUNCTION("googlefinance(B90,""price"")"),19954.3)</f>
        <v>19954.3</v>
      </c>
      <c r="E90" s="143">
        <f t="shared" si="52"/>
        <v>643.3</v>
      </c>
      <c r="F90" s="144">
        <f t="shared" si="53"/>
        <v>0.03331261975</v>
      </c>
      <c r="G90" s="145"/>
      <c r="H90" s="156">
        <v>2000.0</v>
      </c>
      <c r="I90" s="157" t="s">
        <v>35</v>
      </c>
      <c r="J90" s="158">
        <v>45663.0</v>
      </c>
      <c r="K90" s="158">
        <v>45709.0</v>
      </c>
      <c r="L90" s="159">
        <v>450.0</v>
      </c>
      <c r="M90" s="159">
        <v>23.0</v>
      </c>
      <c r="N90" s="160">
        <v>46000.0</v>
      </c>
      <c r="O90" s="158">
        <v>45667.0</v>
      </c>
      <c r="P90" s="161">
        <v>16.65</v>
      </c>
      <c r="Q90" s="160">
        <v>12700.0</v>
      </c>
      <c r="R90" s="116"/>
      <c r="S90" s="1"/>
      <c r="T90" s="133"/>
      <c r="U90" s="107"/>
      <c r="V90" s="107"/>
      <c r="W90" s="114"/>
      <c r="X90" s="152"/>
      <c r="Y90" s="108"/>
      <c r="Z90" s="107"/>
      <c r="AA90" s="152"/>
      <c r="AB90" s="108"/>
      <c r="AC90" s="116"/>
    </row>
    <row r="91">
      <c r="A91" s="94" t="s">
        <v>198</v>
      </c>
      <c r="B91" s="12" t="s">
        <v>199</v>
      </c>
      <c r="C91" s="142">
        <v>2230.0</v>
      </c>
      <c r="D91" s="142">
        <f>IFERROR(__xludf.DUMMYFUNCTION("googlefinance(B91,""price"")"),2307.74)</f>
        <v>2307.74</v>
      </c>
      <c r="E91" s="143">
        <f t="shared" si="52"/>
        <v>77.74</v>
      </c>
      <c r="F91" s="144">
        <f t="shared" si="53"/>
        <v>0.03486098655</v>
      </c>
      <c r="G91" s="145"/>
      <c r="H91" s="156">
        <v>20000.0</v>
      </c>
      <c r="I91" s="157" t="s">
        <v>66</v>
      </c>
      <c r="J91" s="158">
        <v>45667.0</v>
      </c>
      <c r="K91" s="158">
        <v>45709.0</v>
      </c>
      <c r="L91" s="159">
        <v>15.0</v>
      </c>
      <c r="M91" s="159">
        <v>1.05</v>
      </c>
      <c r="N91" s="160">
        <v>21000.0</v>
      </c>
      <c r="O91" s="158">
        <v>45670.0</v>
      </c>
      <c r="P91" s="159">
        <v>0.6</v>
      </c>
      <c r="Q91" s="160">
        <v>9000.0</v>
      </c>
      <c r="R91" s="116"/>
      <c r="S91" s="1"/>
      <c r="T91" s="133"/>
      <c r="U91" s="107"/>
      <c r="V91" s="107"/>
      <c r="W91" s="114"/>
      <c r="X91" s="152"/>
      <c r="Y91" s="108"/>
      <c r="Z91" s="107"/>
      <c r="AA91" s="152"/>
      <c r="AB91" s="108"/>
      <c r="AC91" s="116"/>
    </row>
    <row r="92">
      <c r="A92" s="94" t="s">
        <v>200</v>
      </c>
      <c r="B92" s="12" t="s">
        <v>201</v>
      </c>
      <c r="C92" s="141">
        <v>19097.0</v>
      </c>
      <c r="D92" s="142">
        <f>IFERROR(__xludf.DUMMYFUNCTION("googlefinance(B92,""price"")"),19997.47)</f>
        <v>19997.47</v>
      </c>
      <c r="E92" s="143">
        <f t="shared" si="52"/>
        <v>900.47</v>
      </c>
      <c r="F92" s="144">
        <f t="shared" si="53"/>
        <v>0.04715243232</v>
      </c>
      <c r="G92" s="145"/>
      <c r="H92" s="156">
        <v>10000.0</v>
      </c>
      <c r="I92" s="162" t="s">
        <v>103</v>
      </c>
      <c r="J92" s="163">
        <v>45678.0</v>
      </c>
      <c r="K92" s="163">
        <v>45709.0</v>
      </c>
      <c r="L92" s="164">
        <v>35.0</v>
      </c>
      <c r="M92" s="164">
        <v>2.44</v>
      </c>
      <c r="N92" s="165">
        <v>24400.0</v>
      </c>
      <c r="O92" s="166"/>
      <c r="P92" s="167"/>
      <c r="Q92" s="165">
        <v>24400.0</v>
      </c>
      <c r="R92" s="116"/>
      <c r="S92" s="1"/>
      <c r="T92" s="133"/>
      <c r="U92" s="107"/>
      <c r="V92" s="107"/>
      <c r="W92" s="114"/>
      <c r="X92" s="152"/>
      <c r="Y92" s="108"/>
      <c r="Z92" s="107"/>
      <c r="AA92" s="152"/>
      <c r="AB92" s="108"/>
      <c r="AC92" s="116"/>
    </row>
    <row r="93">
      <c r="A93" s="116"/>
      <c r="B93" s="116"/>
      <c r="C93" s="116"/>
      <c r="D93" s="116"/>
      <c r="E93" s="116"/>
      <c r="F93" s="116"/>
      <c r="G93" s="116"/>
      <c r="H93" s="156">
        <v>5000.0</v>
      </c>
      <c r="I93" s="162" t="s">
        <v>42</v>
      </c>
      <c r="J93" s="163">
        <v>45679.0</v>
      </c>
      <c r="K93" s="163">
        <v>45709.0</v>
      </c>
      <c r="L93" s="164">
        <v>80.0</v>
      </c>
      <c r="M93" s="164">
        <v>5.4</v>
      </c>
      <c r="N93" s="165">
        <v>27000.0</v>
      </c>
      <c r="O93" s="166"/>
      <c r="P93" s="167"/>
      <c r="Q93" s="165">
        <v>27000.0</v>
      </c>
      <c r="R93" s="116"/>
      <c r="S93" s="1"/>
      <c r="T93" s="133"/>
      <c r="U93" s="107"/>
      <c r="V93" s="107"/>
      <c r="W93" s="114"/>
      <c r="X93" s="152"/>
      <c r="Y93" s="108"/>
      <c r="Z93" s="107"/>
      <c r="AA93" s="152"/>
      <c r="AB93" s="108"/>
      <c r="AC93" s="116"/>
    </row>
    <row r="94">
      <c r="A94" s="139" t="s">
        <v>175</v>
      </c>
      <c r="B94" s="168"/>
      <c r="C94" s="169" t="s">
        <v>202</v>
      </c>
      <c r="D94" s="139" t="s">
        <v>177</v>
      </c>
      <c r="E94" s="139" t="s">
        <v>203</v>
      </c>
      <c r="F94" s="139" t="s">
        <v>204</v>
      </c>
      <c r="G94" s="116"/>
      <c r="H94" s="146"/>
      <c r="I94" s="106"/>
      <c r="J94" s="166"/>
      <c r="K94" s="147"/>
      <c r="L94" s="148"/>
      <c r="M94" s="148"/>
      <c r="N94" s="149"/>
      <c r="O94" s="166"/>
      <c r="P94" s="148"/>
      <c r="Q94" s="149"/>
      <c r="R94" s="116"/>
      <c r="S94" s="1"/>
      <c r="T94" s="133"/>
      <c r="U94" s="107"/>
      <c r="V94" s="107"/>
      <c r="W94" s="114"/>
      <c r="X94" s="152"/>
      <c r="Y94" s="108"/>
      <c r="Z94" s="107"/>
      <c r="AA94" s="152"/>
      <c r="AB94" s="108"/>
      <c r="AC94" s="116"/>
    </row>
    <row r="95">
      <c r="A95" s="170" t="s">
        <v>192</v>
      </c>
      <c r="B95" s="170" t="s">
        <v>193</v>
      </c>
      <c r="C95" s="141">
        <v>42544.0</v>
      </c>
      <c r="D95" s="171">
        <f>IFERROR(__xludf.DUMMYFUNCTION("googlefinance(B95,""price"")"),44424.25)</f>
        <v>44424.25</v>
      </c>
      <c r="E95" s="172">
        <f t="shared" ref="E95:E99" si="54">D95-C95</f>
        <v>1880.25</v>
      </c>
      <c r="F95" s="173">
        <f t="shared" ref="F95:F99" si="55">D95/C95-1</f>
        <v>0.04419542121</v>
      </c>
      <c r="G95" s="116"/>
      <c r="H95" s="146"/>
      <c r="I95" s="106"/>
      <c r="J95" s="147"/>
      <c r="K95" s="147"/>
      <c r="L95" s="148"/>
      <c r="M95" s="148"/>
      <c r="N95" s="149"/>
      <c r="O95" s="133"/>
      <c r="P95" s="152"/>
      <c r="Q95" s="149"/>
      <c r="R95" s="116"/>
      <c r="S95" s="1"/>
      <c r="T95" s="133"/>
      <c r="U95" s="107"/>
      <c r="V95" s="107"/>
      <c r="W95" s="114"/>
      <c r="X95" s="152"/>
      <c r="Y95" s="108"/>
      <c r="Z95" s="107"/>
      <c r="AA95" s="152"/>
      <c r="AB95" s="108"/>
      <c r="AC95" s="116"/>
    </row>
    <row r="96">
      <c r="A96" s="170" t="s">
        <v>194</v>
      </c>
      <c r="B96" s="170" t="s">
        <v>195</v>
      </c>
      <c r="C96" s="141">
        <v>5882.0</v>
      </c>
      <c r="D96" s="171">
        <f>IFERROR(__xludf.DUMMYFUNCTION("googlefinance(B96,""price"")"),6101.24)</f>
        <v>6101.24</v>
      </c>
      <c r="E96" s="172">
        <f t="shared" si="54"/>
        <v>219.24</v>
      </c>
      <c r="F96" s="173">
        <f t="shared" si="55"/>
        <v>0.03727303638</v>
      </c>
      <c r="G96" s="116"/>
      <c r="H96" s="146"/>
      <c r="I96" s="106"/>
      <c r="J96" s="147"/>
      <c r="K96" s="147"/>
      <c r="L96" s="148"/>
      <c r="M96" s="148"/>
      <c r="N96" s="149"/>
      <c r="O96" s="133"/>
      <c r="P96" s="114"/>
      <c r="Q96" s="149"/>
      <c r="R96" s="116"/>
      <c r="S96" s="1"/>
      <c r="T96" s="133"/>
      <c r="U96" s="107"/>
      <c r="V96" s="107"/>
      <c r="W96" s="114"/>
      <c r="X96" s="152"/>
      <c r="Y96" s="108"/>
      <c r="Z96" s="107"/>
      <c r="AA96" s="152"/>
      <c r="AB96" s="108"/>
      <c r="AC96" s="116"/>
    </row>
    <row r="97">
      <c r="A97" s="170" t="s">
        <v>196</v>
      </c>
      <c r="B97" s="170" t="s">
        <v>197</v>
      </c>
      <c r="C97" s="141">
        <v>19311.0</v>
      </c>
      <c r="D97" s="171">
        <f>IFERROR(__xludf.DUMMYFUNCTION("googlefinance(B97,""price"")"),19954.3)</f>
        <v>19954.3</v>
      </c>
      <c r="E97" s="172">
        <f t="shared" si="54"/>
        <v>643.3</v>
      </c>
      <c r="F97" s="173">
        <f t="shared" si="55"/>
        <v>0.03331261975</v>
      </c>
      <c r="G97" s="116"/>
      <c r="H97" s="146"/>
      <c r="I97" s="174"/>
      <c r="J97" s="175"/>
      <c r="K97" s="147"/>
      <c r="L97" s="176"/>
      <c r="M97" s="176"/>
      <c r="N97" s="177"/>
      <c r="O97" s="175"/>
      <c r="P97" s="176"/>
      <c r="Q97" s="177"/>
      <c r="R97" s="116"/>
      <c r="S97" s="178" t="s">
        <v>67</v>
      </c>
      <c r="T97" s="115"/>
      <c r="U97" s="115"/>
      <c r="V97" s="115"/>
      <c r="W97" s="115"/>
      <c r="X97" s="115"/>
      <c r="Y97" s="179">
        <f>SUM(Y88:Y96)</f>
        <v>0</v>
      </c>
      <c r="Z97" s="115"/>
      <c r="AA97" s="180"/>
      <c r="AB97" s="179">
        <f>SUM(AB88:AB96)</f>
        <v>0</v>
      </c>
      <c r="AC97" s="116"/>
    </row>
    <row r="98">
      <c r="A98" s="170" t="s">
        <v>198</v>
      </c>
      <c r="B98" s="170" t="s">
        <v>199</v>
      </c>
      <c r="C98" s="142">
        <v>2230.0</v>
      </c>
      <c r="D98" s="171">
        <f>IFERROR(__xludf.DUMMYFUNCTION("googlefinance(B98,""price"")"),2307.74)</f>
        <v>2307.74</v>
      </c>
      <c r="E98" s="172">
        <f t="shared" si="54"/>
        <v>77.74</v>
      </c>
      <c r="F98" s="173">
        <f t="shared" si="55"/>
        <v>0.03486098655</v>
      </c>
      <c r="G98" s="116"/>
      <c r="H98" s="146"/>
      <c r="I98" s="106"/>
      <c r="J98" s="147"/>
      <c r="K98" s="147"/>
      <c r="L98" s="148"/>
      <c r="M98" s="148"/>
      <c r="N98" s="149"/>
      <c r="O98" s="147"/>
      <c r="P98" s="148"/>
      <c r="Q98" s="149"/>
      <c r="R98" s="116"/>
      <c r="S98" s="116"/>
      <c r="T98" s="116"/>
      <c r="U98" s="116"/>
      <c r="V98" s="116"/>
      <c r="W98" s="116"/>
      <c r="X98" s="116"/>
      <c r="Y98" s="116"/>
      <c r="Z98" s="116"/>
      <c r="AA98" s="116"/>
      <c r="AB98" s="116"/>
      <c r="AC98" s="116"/>
    </row>
    <row r="99">
      <c r="A99" s="170" t="s">
        <v>200</v>
      </c>
      <c r="B99" s="170" t="s">
        <v>201</v>
      </c>
      <c r="C99" s="141">
        <v>19097.0</v>
      </c>
      <c r="D99" s="171">
        <f>IFERROR(__xludf.DUMMYFUNCTION("googlefinance(B99,""price"")"),19997.47)</f>
        <v>19997.47</v>
      </c>
      <c r="E99" s="172">
        <f t="shared" si="54"/>
        <v>900.47</v>
      </c>
      <c r="F99" s="173">
        <f t="shared" si="55"/>
        <v>0.04715243232</v>
      </c>
      <c r="G99" s="116"/>
      <c r="H99" s="146"/>
      <c r="I99" s="106"/>
      <c r="J99" s="147"/>
      <c r="K99" s="147"/>
      <c r="L99" s="148"/>
      <c r="M99" s="148"/>
      <c r="N99" s="149"/>
      <c r="O99" s="107"/>
      <c r="P99" s="152"/>
      <c r="Q99" s="149"/>
      <c r="R99" s="116"/>
      <c r="S99" s="116"/>
      <c r="T99" s="116"/>
      <c r="U99" s="116"/>
      <c r="V99" s="116"/>
      <c r="W99" s="116"/>
      <c r="X99" s="116"/>
      <c r="Y99" s="116"/>
      <c r="Z99" s="116"/>
      <c r="AA99" s="116"/>
      <c r="AB99" s="116"/>
      <c r="AC99" s="116"/>
    </row>
    <row r="100">
      <c r="A100" s="116"/>
      <c r="B100" s="116"/>
      <c r="C100" s="116"/>
      <c r="D100" s="116"/>
      <c r="E100" s="116"/>
      <c r="F100" s="116"/>
      <c r="G100" s="116"/>
      <c r="H100" s="146"/>
      <c r="I100" s="106"/>
      <c r="J100" s="147"/>
      <c r="K100" s="147"/>
      <c r="L100" s="148"/>
      <c r="M100" s="148"/>
      <c r="N100" s="149"/>
      <c r="O100" s="107"/>
      <c r="P100" s="152"/>
      <c r="Q100" s="149"/>
      <c r="R100" s="116"/>
      <c r="S100" s="116"/>
      <c r="T100" s="116"/>
      <c r="U100" s="116"/>
      <c r="V100" s="116"/>
      <c r="W100" s="116"/>
      <c r="X100" s="116"/>
      <c r="Y100" s="116"/>
      <c r="Z100" s="116"/>
      <c r="AA100" s="116"/>
      <c r="AB100" s="116"/>
      <c r="AC100" s="116"/>
    </row>
    <row r="101">
      <c r="A101" s="181" t="s">
        <v>205</v>
      </c>
      <c r="B101" s="182" t="s">
        <v>206</v>
      </c>
      <c r="C101" s="116"/>
      <c r="D101" s="116"/>
      <c r="E101" s="116"/>
      <c r="F101" s="116"/>
      <c r="G101" s="116"/>
      <c r="H101" s="146"/>
      <c r="I101" s="106"/>
      <c r="J101" s="147"/>
      <c r="K101" s="147"/>
      <c r="L101" s="148"/>
      <c r="M101" s="148"/>
      <c r="N101" s="149"/>
      <c r="O101" s="147"/>
      <c r="P101" s="148"/>
      <c r="Q101" s="149"/>
      <c r="R101" s="116"/>
      <c r="S101" s="116"/>
      <c r="T101" s="116"/>
      <c r="U101" s="116"/>
      <c r="V101" s="116"/>
      <c r="W101" s="116"/>
      <c r="X101" s="116"/>
      <c r="Y101" s="116"/>
      <c r="Z101" s="116"/>
      <c r="AA101" s="116"/>
      <c r="AB101" s="116"/>
      <c r="AC101" s="116"/>
    </row>
    <row r="102">
      <c r="A102" s="181" t="s">
        <v>207</v>
      </c>
      <c r="B102" s="182" t="s">
        <v>208</v>
      </c>
      <c r="C102" s="116"/>
      <c r="D102" s="116"/>
      <c r="E102" s="116"/>
      <c r="F102" s="116"/>
      <c r="G102" s="116"/>
      <c r="H102" s="183"/>
      <c r="I102" s="133"/>
      <c r="J102" s="107"/>
      <c r="K102" s="107"/>
      <c r="L102" s="152"/>
      <c r="M102" s="152"/>
      <c r="N102" s="108"/>
      <c r="O102" s="107"/>
      <c r="P102" s="152"/>
      <c r="Q102" s="108"/>
      <c r="R102" s="116"/>
      <c r="S102" s="116"/>
      <c r="T102" s="116"/>
      <c r="U102" s="116"/>
      <c r="V102" s="116"/>
      <c r="W102" s="116"/>
      <c r="X102" s="116"/>
      <c r="Y102" s="116"/>
      <c r="Z102" s="116"/>
      <c r="AA102" s="116"/>
      <c r="AB102" s="116"/>
      <c r="AC102" s="116"/>
    </row>
    <row r="103">
      <c r="A103" s="181" t="s">
        <v>209</v>
      </c>
      <c r="B103" s="182" t="s">
        <v>210</v>
      </c>
      <c r="C103" s="116"/>
      <c r="D103" s="116"/>
      <c r="E103" s="116"/>
      <c r="F103" s="116"/>
      <c r="G103" s="116"/>
      <c r="H103" s="183"/>
      <c r="I103" s="133"/>
      <c r="J103" s="107"/>
      <c r="K103" s="107"/>
      <c r="L103" s="152"/>
      <c r="M103" s="152"/>
      <c r="N103" s="108"/>
      <c r="O103" s="107"/>
      <c r="P103" s="152"/>
      <c r="Q103" s="108"/>
      <c r="R103" s="116"/>
      <c r="S103" s="116"/>
      <c r="T103" s="116"/>
      <c r="U103" s="116"/>
      <c r="V103" s="116"/>
      <c r="W103" s="116"/>
      <c r="X103" s="116"/>
      <c r="Y103" s="116"/>
      <c r="Z103" s="116"/>
      <c r="AA103" s="116"/>
      <c r="AB103" s="116"/>
      <c r="AC103" s="116"/>
    </row>
    <row r="104">
      <c r="A104" s="181" t="s">
        <v>211</v>
      </c>
      <c r="B104" s="182" t="s">
        <v>212</v>
      </c>
      <c r="C104" s="116"/>
      <c r="D104" s="116"/>
      <c r="E104" s="116"/>
      <c r="F104" s="116"/>
      <c r="G104" s="116"/>
      <c r="H104" s="183"/>
      <c r="I104" s="133"/>
      <c r="J104" s="107"/>
      <c r="K104" s="107"/>
      <c r="L104" s="152"/>
      <c r="M104" s="152"/>
      <c r="N104" s="108"/>
      <c r="O104" s="107"/>
      <c r="P104" s="152"/>
      <c r="Q104" s="108"/>
      <c r="R104" s="116"/>
      <c r="S104" s="116"/>
      <c r="T104" s="116"/>
      <c r="U104" s="116"/>
      <c r="V104" s="116"/>
      <c r="W104" s="116"/>
      <c r="X104" s="116"/>
      <c r="Y104" s="116"/>
      <c r="Z104" s="116"/>
      <c r="AA104" s="116"/>
      <c r="AB104" s="116"/>
      <c r="AC104" s="116"/>
    </row>
    <row r="105">
      <c r="A105" s="116"/>
      <c r="B105" s="116"/>
      <c r="C105" s="116"/>
      <c r="D105" s="116"/>
      <c r="E105" s="116"/>
      <c r="F105" s="116"/>
      <c r="G105" s="116"/>
      <c r="H105" s="183"/>
      <c r="I105" s="133"/>
      <c r="J105" s="107"/>
      <c r="K105" s="107"/>
      <c r="L105" s="152"/>
      <c r="M105" s="152"/>
      <c r="N105" s="108"/>
      <c r="O105" s="107"/>
      <c r="P105" s="152"/>
      <c r="Q105" s="108"/>
      <c r="R105" s="116"/>
      <c r="S105" s="116"/>
      <c r="T105" s="116"/>
      <c r="U105" s="116"/>
      <c r="V105" s="116"/>
      <c r="W105" s="116"/>
      <c r="X105" s="116"/>
      <c r="Y105" s="116"/>
      <c r="Z105" s="116"/>
      <c r="AA105" s="116"/>
      <c r="AB105" s="116"/>
      <c r="AC105" s="116"/>
    </row>
    <row r="106">
      <c r="A106" s="116"/>
      <c r="B106" s="116"/>
      <c r="C106" s="116"/>
      <c r="D106" s="116"/>
      <c r="E106" s="116"/>
      <c r="F106" s="116"/>
      <c r="G106" s="116"/>
      <c r="H106" s="183"/>
      <c r="I106" s="133"/>
      <c r="J106" s="107"/>
      <c r="K106" s="107"/>
      <c r="L106" s="152"/>
      <c r="M106" s="152"/>
      <c r="N106" s="108"/>
      <c r="O106" s="107"/>
      <c r="P106" s="152"/>
      <c r="Q106" s="108"/>
      <c r="R106" s="116"/>
      <c r="S106" s="116"/>
      <c r="T106" s="116"/>
      <c r="U106" s="116"/>
      <c r="V106" s="116"/>
      <c r="W106" s="116"/>
      <c r="X106" s="116"/>
      <c r="Y106" s="116"/>
      <c r="Z106" s="116"/>
      <c r="AA106" s="116"/>
      <c r="AB106" s="116"/>
      <c r="AC106" s="116"/>
    </row>
    <row r="107">
      <c r="A107" s="116"/>
      <c r="B107" s="116"/>
      <c r="C107" s="116"/>
      <c r="D107" s="116"/>
      <c r="E107" s="116"/>
      <c r="F107" s="116"/>
      <c r="G107" s="116"/>
      <c r="H107" s="183"/>
      <c r="I107" s="184"/>
      <c r="J107" s="107"/>
      <c r="K107" s="107"/>
      <c r="L107" s="29"/>
      <c r="M107" s="29"/>
      <c r="N107" s="185"/>
      <c r="O107" s="186"/>
      <c r="P107" s="29"/>
      <c r="Q107" s="185"/>
      <c r="R107" s="116"/>
      <c r="S107" s="116"/>
      <c r="T107" s="116"/>
      <c r="U107" s="116"/>
      <c r="V107" s="116"/>
      <c r="W107" s="116"/>
      <c r="X107" s="116"/>
      <c r="Y107" s="116"/>
      <c r="Z107" s="116"/>
      <c r="AA107" s="116"/>
      <c r="AB107" s="116"/>
      <c r="AC107" s="116"/>
    </row>
    <row r="108">
      <c r="A108" s="116"/>
      <c r="B108" s="116"/>
      <c r="C108" s="116"/>
      <c r="D108" s="116"/>
      <c r="E108" s="116"/>
      <c r="F108" s="116"/>
      <c r="G108" s="116"/>
      <c r="H108" s="183"/>
      <c r="I108" s="133"/>
      <c r="J108" s="107"/>
      <c r="K108" s="107"/>
      <c r="L108" s="152"/>
      <c r="M108" s="152"/>
      <c r="N108" s="108"/>
      <c r="O108" s="107"/>
      <c r="P108" s="152"/>
      <c r="Q108" s="108"/>
      <c r="R108" s="116"/>
      <c r="S108" s="116"/>
      <c r="T108" s="116"/>
      <c r="U108" s="116"/>
      <c r="V108" s="116"/>
      <c r="W108" s="116"/>
      <c r="X108" s="116"/>
      <c r="Y108" s="116"/>
      <c r="Z108" s="116"/>
      <c r="AA108" s="116"/>
      <c r="AB108" s="116"/>
      <c r="AC108" s="116"/>
    </row>
    <row r="109">
      <c r="A109" s="187"/>
      <c r="B109" s="116"/>
      <c r="C109" s="116"/>
      <c r="D109" s="188"/>
      <c r="E109" s="116"/>
      <c r="F109" s="188"/>
      <c r="G109" s="116"/>
      <c r="H109" s="183"/>
      <c r="I109" s="133"/>
      <c r="J109" s="107"/>
      <c r="K109" s="107"/>
      <c r="L109" s="152"/>
      <c r="M109" s="152"/>
      <c r="N109" s="108"/>
      <c r="O109" s="107"/>
      <c r="P109" s="152"/>
      <c r="Q109" s="108"/>
      <c r="R109" s="116"/>
      <c r="S109" s="116"/>
      <c r="T109" s="116"/>
      <c r="U109" s="116"/>
      <c r="V109" s="116"/>
      <c r="W109" s="116"/>
      <c r="X109" s="116"/>
      <c r="Y109" s="116"/>
      <c r="Z109" s="116"/>
      <c r="AA109" s="116"/>
      <c r="AB109" s="116"/>
      <c r="AC109" s="116"/>
    </row>
    <row r="110">
      <c r="A110" s="116"/>
      <c r="B110" s="116"/>
      <c r="C110" s="116"/>
      <c r="D110" s="188"/>
      <c r="E110" s="116"/>
      <c r="F110" s="188"/>
      <c r="G110" s="116"/>
      <c r="H110" s="183"/>
      <c r="I110" s="133"/>
      <c r="J110" s="107"/>
      <c r="K110" s="107"/>
      <c r="L110" s="152"/>
      <c r="M110" s="152"/>
      <c r="N110" s="108"/>
      <c r="O110" s="107"/>
      <c r="P110" s="152"/>
      <c r="Q110" s="108"/>
      <c r="R110" s="116"/>
      <c r="S110" s="116"/>
      <c r="T110" s="116"/>
      <c r="U110" s="116"/>
      <c r="V110" s="116"/>
      <c r="W110" s="116"/>
      <c r="X110" s="116"/>
      <c r="Y110" s="116"/>
      <c r="Z110" s="116"/>
      <c r="AA110" s="116"/>
      <c r="AB110" s="116"/>
      <c r="AC110" s="116"/>
    </row>
    <row r="111">
      <c r="A111" s="116"/>
      <c r="B111" s="116"/>
      <c r="C111" s="116"/>
      <c r="D111" s="188"/>
      <c r="E111" s="116"/>
      <c r="F111" s="188"/>
      <c r="G111" s="116"/>
      <c r="H111" s="1"/>
      <c r="I111" s="133"/>
      <c r="J111" s="107"/>
      <c r="K111" s="107"/>
      <c r="L111" s="152"/>
      <c r="M111" s="152"/>
      <c r="N111" s="108"/>
      <c r="O111" s="107"/>
      <c r="P111" s="152"/>
      <c r="Q111" s="108"/>
      <c r="R111" s="116"/>
      <c r="S111" s="116"/>
      <c r="T111" s="116"/>
      <c r="U111" s="116"/>
      <c r="V111" s="116"/>
      <c r="W111" s="116"/>
      <c r="X111" s="116"/>
      <c r="Y111" s="116"/>
      <c r="Z111" s="116"/>
      <c r="AA111" s="116"/>
      <c r="AB111" s="116"/>
      <c r="AC111" s="116"/>
    </row>
    <row r="112">
      <c r="A112" s="116"/>
      <c r="B112" s="116"/>
      <c r="C112" s="116"/>
      <c r="D112" s="188"/>
      <c r="E112" s="116"/>
      <c r="F112" s="188"/>
      <c r="G112" s="116"/>
      <c r="H112" s="183"/>
      <c r="I112" s="133"/>
      <c r="J112" s="107"/>
      <c r="K112" s="107"/>
      <c r="L112" s="152"/>
      <c r="M112" s="152"/>
      <c r="N112" s="108"/>
      <c r="O112" s="107"/>
      <c r="P112" s="152"/>
      <c r="Q112" s="108"/>
      <c r="R112" s="116"/>
      <c r="S112" s="116"/>
      <c r="T112" s="116"/>
      <c r="U112" s="116"/>
      <c r="V112" s="116"/>
      <c r="W112" s="116"/>
      <c r="X112" s="116"/>
      <c r="Y112" s="116"/>
      <c r="Z112" s="116"/>
      <c r="AA112" s="116"/>
      <c r="AB112" s="116"/>
      <c r="AC112" s="116"/>
    </row>
    <row r="113">
      <c r="A113" s="116"/>
      <c r="B113" s="116"/>
      <c r="C113" s="116"/>
      <c r="D113" s="188"/>
      <c r="E113" s="116"/>
      <c r="F113" s="188"/>
      <c r="G113" s="116"/>
      <c r="H113" s="183"/>
      <c r="I113" s="133"/>
      <c r="J113" s="107"/>
      <c r="K113" s="107"/>
      <c r="L113" s="152"/>
      <c r="M113" s="152"/>
      <c r="N113" s="108"/>
      <c r="O113" s="107"/>
      <c r="P113" s="152"/>
      <c r="Q113" s="108"/>
      <c r="R113" s="116"/>
      <c r="S113" s="116"/>
      <c r="T113" s="116"/>
      <c r="U113" s="116"/>
      <c r="V113" s="116"/>
      <c r="W113" s="116"/>
      <c r="X113" s="116"/>
      <c r="Y113" s="116"/>
      <c r="Z113" s="116"/>
      <c r="AA113" s="116"/>
      <c r="AB113" s="116"/>
      <c r="AC113" s="116"/>
    </row>
    <row r="114">
      <c r="A114" s="116"/>
      <c r="B114" s="116"/>
      <c r="C114" s="116"/>
      <c r="D114" s="116"/>
      <c r="E114" s="116"/>
      <c r="F114" s="116"/>
      <c r="G114" s="116"/>
      <c r="H114" s="183"/>
      <c r="I114" s="184"/>
      <c r="J114" s="186"/>
      <c r="K114" s="107"/>
      <c r="L114" s="189"/>
      <c r="M114" s="189"/>
      <c r="N114" s="185"/>
      <c r="O114" s="186"/>
      <c r="P114" s="29"/>
      <c r="Q114" s="185"/>
      <c r="R114" s="116"/>
      <c r="S114" s="116"/>
      <c r="T114" s="116"/>
      <c r="U114" s="116"/>
      <c r="V114" s="116"/>
      <c r="W114" s="116"/>
      <c r="X114" s="116"/>
      <c r="Y114" s="116"/>
      <c r="Z114" s="116"/>
      <c r="AA114" s="116"/>
      <c r="AB114" s="116"/>
      <c r="AC114" s="116"/>
    </row>
    <row r="115">
      <c r="A115" s="116"/>
      <c r="B115" s="116"/>
      <c r="C115" s="116"/>
      <c r="D115" s="116"/>
      <c r="E115" s="116"/>
      <c r="F115" s="116"/>
      <c r="G115" s="116"/>
      <c r="H115" s="183"/>
      <c r="I115" s="133"/>
      <c r="J115" s="107"/>
      <c r="K115" s="107"/>
      <c r="L115" s="114"/>
      <c r="M115" s="152"/>
      <c r="N115" s="108"/>
      <c r="O115" s="107"/>
      <c r="P115" s="152"/>
      <c r="Q115" s="108"/>
      <c r="R115" s="116"/>
      <c r="S115" s="116"/>
      <c r="T115" s="116"/>
      <c r="U115" s="116"/>
      <c r="V115" s="116"/>
      <c r="W115" s="116"/>
      <c r="X115" s="116"/>
      <c r="Y115" s="116"/>
      <c r="Z115" s="116"/>
      <c r="AA115" s="116"/>
      <c r="AB115" s="116"/>
      <c r="AC115" s="116"/>
    </row>
    <row r="116">
      <c r="A116" s="116"/>
      <c r="B116" s="116"/>
      <c r="C116" s="116"/>
      <c r="D116" s="116"/>
      <c r="E116" s="116"/>
      <c r="F116" s="116"/>
      <c r="G116" s="116"/>
      <c r="H116" s="183"/>
      <c r="I116" s="133"/>
      <c r="J116" s="107"/>
      <c r="K116" s="107"/>
      <c r="L116" s="152"/>
      <c r="M116" s="152"/>
      <c r="N116" s="108"/>
      <c r="O116" s="107"/>
      <c r="P116" s="152"/>
      <c r="Q116" s="108"/>
      <c r="R116" s="116"/>
      <c r="S116" s="116"/>
      <c r="T116" s="116"/>
      <c r="U116" s="116"/>
      <c r="V116" s="116"/>
      <c r="W116" s="116"/>
      <c r="X116" s="116"/>
      <c r="Y116" s="116"/>
      <c r="Z116" s="116"/>
      <c r="AA116" s="116"/>
      <c r="AB116" s="116"/>
      <c r="AC116" s="116"/>
    </row>
    <row r="117">
      <c r="A117" s="116"/>
      <c r="B117" s="116"/>
      <c r="C117" s="116"/>
      <c r="D117" s="116"/>
      <c r="E117" s="116"/>
      <c r="F117" s="116"/>
      <c r="G117" s="116"/>
      <c r="H117" s="183"/>
      <c r="I117" s="133"/>
      <c r="J117" s="107"/>
      <c r="K117" s="107"/>
      <c r="L117" s="152"/>
      <c r="M117" s="152"/>
      <c r="N117" s="108"/>
      <c r="O117" s="107"/>
      <c r="P117" s="152"/>
      <c r="Q117" s="108"/>
      <c r="R117" s="116"/>
      <c r="S117" s="116"/>
      <c r="T117" s="116"/>
      <c r="U117" s="116"/>
      <c r="V117" s="116"/>
      <c r="W117" s="116"/>
      <c r="X117" s="116"/>
      <c r="Y117" s="116"/>
      <c r="Z117" s="116"/>
      <c r="AA117" s="116"/>
      <c r="AB117" s="116"/>
      <c r="AC117" s="116"/>
    </row>
    <row r="118">
      <c r="A118" s="116"/>
      <c r="B118" s="116"/>
      <c r="C118" s="116"/>
      <c r="D118" s="116"/>
      <c r="E118" s="116"/>
      <c r="F118" s="116"/>
      <c r="G118" s="116"/>
      <c r="H118" s="183"/>
      <c r="I118" s="133"/>
      <c r="J118" s="107"/>
      <c r="K118" s="107"/>
      <c r="L118" s="152"/>
      <c r="M118" s="152"/>
      <c r="N118" s="108"/>
      <c r="O118" s="107"/>
      <c r="P118" s="152"/>
      <c r="Q118" s="108"/>
      <c r="R118" s="116"/>
      <c r="S118" s="116"/>
      <c r="T118" s="116"/>
      <c r="U118" s="116"/>
      <c r="V118" s="116"/>
      <c r="W118" s="116"/>
      <c r="X118" s="116"/>
      <c r="Y118" s="116"/>
      <c r="Z118" s="116"/>
      <c r="AA118" s="116"/>
      <c r="AB118" s="116"/>
      <c r="AC118" s="116"/>
    </row>
    <row r="119">
      <c r="A119" s="116"/>
      <c r="B119" s="116"/>
      <c r="C119" s="116"/>
      <c r="D119" s="116"/>
      <c r="E119" s="116"/>
      <c r="F119" s="116"/>
      <c r="G119" s="116"/>
      <c r="H119" s="183"/>
      <c r="I119" s="133"/>
      <c r="J119" s="107"/>
      <c r="K119" s="107"/>
      <c r="L119" s="152"/>
      <c r="M119" s="152"/>
      <c r="N119" s="108"/>
      <c r="O119" s="107"/>
      <c r="P119" s="152"/>
      <c r="Q119" s="108"/>
      <c r="R119" s="116"/>
      <c r="S119" s="116" t="s">
        <v>213</v>
      </c>
      <c r="T119" s="116"/>
      <c r="U119" s="116"/>
      <c r="V119" s="116"/>
      <c r="W119" s="116"/>
      <c r="X119" s="116"/>
      <c r="Y119" s="116"/>
      <c r="Z119" s="116"/>
      <c r="AA119" s="116"/>
      <c r="AB119" s="116"/>
      <c r="AC119" s="116"/>
    </row>
    <row r="120">
      <c r="A120" s="116"/>
      <c r="B120" s="116"/>
      <c r="C120" s="116"/>
      <c r="D120" s="116"/>
      <c r="E120" s="116"/>
      <c r="F120" s="116"/>
      <c r="G120" s="116"/>
      <c r="H120" s="183"/>
      <c r="I120" s="133"/>
      <c r="J120" s="107"/>
      <c r="K120" s="107"/>
      <c r="L120" s="152"/>
      <c r="M120" s="152"/>
      <c r="N120" s="108"/>
      <c r="O120" s="107"/>
      <c r="P120" s="152"/>
      <c r="Q120" s="108"/>
      <c r="R120" s="116"/>
      <c r="S120" s="116"/>
      <c r="T120" s="116"/>
      <c r="U120" s="116"/>
      <c r="V120" s="116"/>
      <c r="W120" s="116"/>
      <c r="X120" s="116"/>
      <c r="Y120" s="116"/>
      <c r="Z120" s="116"/>
      <c r="AA120" s="116"/>
      <c r="AB120" s="116"/>
      <c r="AC120" s="116"/>
    </row>
    <row r="121">
      <c r="A121" s="116"/>
      <c r="B121" s="116"/>
      <c r="C121" s="116"/>
      <c r="D121" s="116"/>
      <c r="E121" s="116"/>
      <c r="F121" s="116"/>
      <c r="G121" s="116"/>
      <c r="H121" s="183"/>
      <c r="I121" s="133"/>
      <c r="J121" s="107"/>
      <c r="K121" s="107"/>
      <c r="L121" s="152"/>
      <c r="M121" s="152"/>
      <c r="N121" s="108"/>
      <c r="O121" s="107"/>
      <c r="P121" s="152"/>
      <c r="Q121" s="108"/>
      <c r="R121" s="116"/>
      <c r="S121" s="116"/>
      <c r="T121" s="116"/>
      <c r="U121" s="116"/>
      <c r="V121" s="116"/>
      <c r="W121" s="116"/>
      <c r="X121" s="116"/>
      <c r="Y121" s="116"/>
      <c r="Z121" s="116"/>
      <c r="AA121" s="116"/>
      <c r="AB121" s="116"/>
      <c r="AC121" s="116"/>
    </row>
    <row r="122">
      <c r="A122" s="116"/>
      <c r="B122" s="116"/>
      <c r="C122" s="116"/>
      <c r="D122" s="116"/>
      <c r="E122" s="116"/>
      <c r="F122" s="116"/>
      <c r="G122" s="116"/>
      <c r="H122" s="183"/>
      <c r="I122" s="133"/>
      <c r="J122" s="107"/>
      <c r="K122" s="107"/>
      <c r="L122" s="152"/>
      <c r="M122" s="152"/>
      <c r="N122" s="108"/>
      <c r="O122" s="107"/>
      <c r="P122" s="152"/>
      <c r="Q122" s="108"/>
      <c r="R122" s="116"/>
      <c r="S122" s="116"/>
      <c r="T122" s="116"/>
      <c r="U122" s="116"/>
      <c r="V122" s="116"/>
      <c r="W122" s="116"/>
      <c r="X122" s="116"/>
      <c r="Y122" s="116"/>
      <c r="Z122" s="116"/>
      <c r="AA122" s="116"/>
      <c r="AB122" s="116"/>
      <c r="AC122" s="116"/>
    </row>
    <row r="123">
      <c r="A123" s="116"/>
      <c r="B123" s="116"/>
      <c r="C123" s="116"/>
      <c r="D123" s="116"/>
      <c r="E123" s="116"/>
      <c r="F123" s="116"/>
      <c r="G123" s="116"/>
      <c r="H123" s="183"/>
      <c r="I123" s="133"/>
      <c r="J123" s="107"/>
      <c r="K123" s="107"/>
      <c r="L123" s="152"/>
      <c r="M123" s="152"/>
      <c r="N123" s="108"/>
      <c r="O123" s="107"/>
      <c r="P123" s="152"/>
      <c r="Q123" s="108"/>
      <c r="R123" s="116"/>
      <c r="S123" s="116"/>
      <c r="T123" s="116"/>
      <c r="U123" s="116"/>
      <c r="V123" s="116"/>
      <c r="W123" s="116"/>
      <c r="X123" s="116"/>
      <c r="Y123" s="116"/>
      <c r="Z123" s="116"/>
      <c r="AA123" s="116"/>
      <c r="AB123" s="116"/>
      <c r="AC123" s="116"/>
    </row>
    <row r="124">
      <c r="A124" s="116"/>
      <c r="B124" s="116"/>
      <c r="C124" s="116"/>
      <c r="D124" s="116"/>
      <c r="E124" s="116"/>
      <c r="F124" s="116"/>
      <c r="G124" s="116"/>
      <c r="H124" s="183"/>
      <c r="I124" s="133"/>
      <c r="J124" s="107"/>
      <c r="K124" s="107"/>
      <c r="L124" s="152"/>
      <c r="M124" s="152"/>
      <c r="N124" s="108"/>
      <c r="O124" s="107"/>
      <c r="P124" s="152"/>
      <c r="Q124" s="108"/>
      <c r="R124" s="116"/>
      <c r="S124" s="116"/>
      <c r="T124" s="116"/>
      <c r="U124" s="116"/>
      <c r="V124" s="116"/>
      <c r="W124" s="116"/>
      <c r="X124" s="116"/>
      <c r="Y124" s="116"/>
      <c r="Z124" s="116"/>
      <c r="AA124" s="116"/>
      <c r="AB124" s="116"/>
      <c r="AC124" s="116"/>
    </row>
    <row r="125">
      <c r="A125" s="116"/>
      <c r="B125" s="116"/>
      <c r="C125" s="116"/>
      <c r="D125" s="116"/>
      <c r="E125" s="116"/>
      <c r="F125" s="116"/>
      <c r="G125" s="116"/>
      <c r="H125" s="183"/>
      <c r="I125" s="184"/>
      <c r="J125" s="186"/>
      <c r="K125" s="186"/>
      <c r="L125" s="29"/>
      <c r="M125" s="29"/>
      <c r="N125" s="185"/>
      <c r="O125" s="186"/>
      <c r="P125" s="29"/>
      <c r="Q125" s="185"/>
      <c r="R125" s="116"/>
      <c r="S125" s="116"/>
      <c r="T125" s="116"/>
      <c r="U125" s="116"/>
      <c r="V125" s="116"/>
      <c r="W125" s="116"/>
      <c r="X125" s="116"/>
      <c r="Y125" s="116"/>
      <c r="Z125" s="116"/>
      <c r="AA125" s="116"/>
      <c r="AB125" s="116"/>
      <c r="AC125" s="116"/>
    </row>
    <row r="126">
      <c r="A126" s="116"/>
      <c r="B126" s="116"/>
      <c r="C126" s="116"/>
      <c r="D126" s="116"/>
      <c r="E126" s="116"/>
      <c r="F126" s="116"/>
      <c r="G126" s="116"/>
      <c r="H126" s="183"/>
      <c r="I126" s="184"/>
      <c r="J126" s="186"/>
      <c r="K126" s="186"/>
      <c r="L126" s="29"/>
      <c r="M126" s="29"/>
      <c r="N126" s="185"/>
      <c r="O126" s="186"/>
      <c r="P126" s="29"/>
      <c r="Q126" s="185"/>
      <c r="R126" s="116"/>
      <c r="S126" s="116"/>
      <c r="T126" s="116"/>
      <c r="U126" s="116"/>
      <c r="V126" s="116"/>
      <c r="W126" s="116"/>
      <c r="X126" s="116"/>
      <c r="Y126" s="116"/>
      <c r="Z126" s="116"/>
      <c r="AA126" s="116"/>
      <c r="AB126" s="116"/>
      <c r="AC126" s="116"/>
    </row>
    <row r="127">
      <c r="A127" s="116"/>
      <c r="B127" s="116"/>
      <c r="C127" s="116"/>
      <c r="D127" s="116"/>
      <c r="E127" s="116"/>
      <c r="F127" s="116"/>
      <c r="G127" s="116"/>
      <c r="H127" s="183"/>
      <c r="I127" s="133"/>
      <c r="J127" s="107"/>
      <c r="K127" s="107"/>
      <c r="L127" s="152"/>
      <c r="M127" s="152"/>
      <c r="N127" s="108"/>
      <c r="O127" s="107"/>
      <c r="P127" s="152"/>
      <c r="Q127" s="108"/>
      <c r="R127" s="116"/>
      <c r="S127" s="116"/>
      <c r="T127" s="116"/>
      <c r="U127" s="116"/>
      <c r="V127" s="116"/>
      <c r="W127" s="116"/>
      <c r="X127" s="116"/>
      <c r="Y127" s="116"/>
      <c r="Z127" s="116"/>
      <c r="AA127" s="116"/>
      <c r="AB127" s="116"/>
      <c r="AC127" s="116"/>
    </row>
    <row r="128">
      <c r="A128" s="116"/>
      <c r="B128" s="116"/>
      <c r="C128" s="116"/>
      <c r="D128" s="116"/>
      <c r="E128" s="116"/>
      <c r="F128" s="116"/>
      <c r="G128" s="116"/>
      <c r="H128" s="183"/>
      <c r="I128" s="133"/>
      <c r="J128" s="107"/>
      <c r="K128" s="107"/>
      <c r="L128" s="152"/>
      <c r="M128" s="152"/>
      <c r="N128" s="108"/>
      <c r="O128" s="107"/>
      <c r="P128" s="152"/>
      <c r="Q128" s="108"/>
      <c r="R128" s="116"/>
      <c r="S128" s="116"/>
      <c r="T128" s="116"/>
      <c r="U128" s="116"/>
      <c r="V128" s="116"/>
      <c r="W128" s="116"/>
      <c r="X128" s="116"/>
      <c r="Y128" s="116"/>
      <c r="Z128" s="116"/>
      <c r="AA128" s="116"/>
      <c r="AB128" s="116"/>
      <c r="AC128" s="116"/>
    </row>
    <row r="129">
      <c r="A129" s="116"/>
      <c r="B129" s="116"/>
      <c r="C129" s="116"/>
      <c r="D129" s="116"/>
      <c r="E129" s="116"/>
      <c r="F129" s="116"/>
      <c r="G129" s="116"/>
      <c r="H129" s="183"/>
      <c r="I129" s="133"/>
      <c r="J129" s="107"/>
      <c r="K129" s="107"/>
      <c r="L129" s="152"/>
      <c r="M129" s="152"/>
      <c r="N129" s="108"/>
      <c r="O129" s="107"/>
      <c r="P129" s="152"/>
      <c r="Q129" s="108"/>
      <c r="R129" s="116"/>
      <c r="S129" s="116"/>
      <c r="T129" s="116"/>
      <c r="U129" s="116"/>
      <c r="V129" s="116"/>
      <c r="W129" s="116"/>
      <c r="X129" s="116"/>
      <c r="Y129" s="116"/>
      <c r="Z129" s="116"/>
      <c r="AA129" s="116"/>
      <c r="AB129" s="116"/>
      <c r="AC129" s="116"/>
    </row>
    <row r="130">
      <c r="A130" s="116"/>
      <c r="B130" s="116"/>
      <c r="C130" s="116"/>
      <c r="D130" s="116"/>
      <c r="E130" s="116"/>
      <c r="F130" s="116"/>
      <c r="G130" s="116"/>
      <c r="H130" s="1"/>
      <c r="I130" s="133"/>
      <c r="J130" s="107"/>
      <c r="K130" s="107"/>
      <c r="L130" s="152"/>
      <c r="M130" s="152"/>
      <c r="N130" s="108"/>
      <c r="O130" s="107"/>
      <c r="P130" s="152"/>
      <c r="Q130" s="108"/>
      <c r="R130" s="116"/>
      <c r="S130" s="116"/>
      <c r="T130" s="116"/>
      <c r="U130" s="116"/>
      <c r="V130" s="116"/>
      <c r="W130" s="116"/>
      <c r="X130" s="116"/>
      <c r="Y130" s="116"/>
      <c r="Z130" s="116"/>
      <c r="AA130" s="116"/>
      <c r="AB130" s="116"/>
      <c r="AC130" s="116"/>
    </row>
    <row r="131">
      <c r="A131" s="116"/>
      <c r="B131" s="116"/>
      <c r="C131" s="116"/>
      <c r="D131" s="116"/>
      <c r="E131" s="116"/>
      <c r="F131" s="116"/>
      <c r="G131" s="116"/>
      <c r="H131" s="183"/>
      <c r="I131" s="133"/>
      <c r="J131" s="107"/>
      <c r="K131" s="107"/>
      <c r="L131" s="152"/>
      <c r="M131" s="152"/>
      <c r="N131" s="108"/>
      <c r="O131" s="107"/>
      <c r="P131" s="152"/>
      <c r="Q131" s="108"/>
      <c r="R131" s="116"/>
      <c r="S131" s="116"/>
      <c r="T131" s="116"/>
      <c r="U131" s="116"/>
      <c r="V131" s="116"/>
      <c r="W131" s="116"/>
      <c r="X131" s="116"/>
      <c r="Y131" s="116"/>
      <c r="Z131" s="116"/>
      <c r="AA131" s="116"/>
      <c r="AB131" s="116"/>
      <c r="AC131" s="116"/>
    </row>
    <row r="132">
      <c r="A132" s="116"/>
      <c r="B132" s="116"/>
      <c r="C132" s="116"/>
      <c r="D132" s="116"/>
      <c r="E132" s="116"/>
      <c r="F132" s="116"/>
      <c r="G132" s="116"/>
      <c r="H132" s="183"/>
      <c r="I132" s="133"/>
      <c r="J132" s="107"/>
      <c r="K132" s="107"/>
      <c r="L132" s="152"/>
      <c r="M132" s="152"/>
      <c r="N132" s="108"/>
      <c r="O132" s="107"/>
      <c r="P132" s="152"/>
      <c r="Q132" s="108"/>
      <c r="R132" s="116"/>
      <c r="S132" s="116"/>
      <c r="T132" s="116"/>
      <c r="U132" s="116"/>
      <c r="V132" s="116"/>
      <c r="W132" s="116"/>
      <c r="X132" s="116"/>
      <c r="Y132" s="116"/>
      <c r="Z132" s="116"/>
      <c r="AA132" s="116"/>
      <c r="AB132" s="116"/>
      <c r="AC132" s="116"/>
    </row>
    <row r="133">
      <c r="A133" s="116"/>
      <c r="B133" s="116"/>
      <c r="C133" s="116"/>
      <c r="D133" s="116"/>
      <c r="E133" s="116"/>
      <c r="F133" s="116"/>
      <c r="G133" s="116"/>
      <c r="H133" s="183"/>
      <c r="I133" s="184"/>
      <c r="J133" s="186"/>
      <c r="K133" s="186"/>
      <c r="L133" s="29"/>
      <c r="M133" s="29"/>
      <c r="N133" s="185"/>
      <c r="O133" s="186"/>
      <c r="P133" s="189"/>
      <c r="Q133" s="185"/>
      <c r="R133" s="116"/>
      <c r="S133" s="116"/>
      <c r="T133" s="116"/>
      <c r="U133" s="116"/>
      <c r="V133" s="116"/>
      <c r="W133" s="116"/>
      <c r="X133" s="116"/>
      <c r="Y133" s="116"/>
      <c r="Z133" s="116"/>
      <c r="AA133" s="116"/>
      <c r="AB133" s="116"/>
      <c r="AC133" s="116"/>
    </row>
    <row r="134">
      <c r="A134" s="116"/>
      <c r="B134" s="116"/>
      <c r="C134" s="116"/>
      <c r="D134" s="116"/>
      <c r="E134" s="116"/>
      <c r="F134" s="116"/>
      <c r="G134" s="116"/>
      <c r="H134" s="183"/>
      <c r="I134" s="184"/>
      <c r="J134" s="186"/>
      <c r="K134" s="186"/>
      <c r="L134" s="29"/>
      <c r="M134" s="29"/>
      <c r="N134" s="185"/>
      <c r="O134" s="186"/>
      <c r="P134" s="29"/>
      <c r="Q134" s="185"/>
      <c r="R134" s="116"/>
      <c r="S134" s="116"/>
      <c r="T134" s="116"/>
      <c r="U134" s="116"/>
      <c r="V134" s="116"/>
      <c r="W134" s="116"/>
      <c r="X134" s="116"/>
      <c r="Y134" s="116"/>
      <c r="Z134" s="116"/>
      <c r="AA134" s="116"/>
      <c r="AB134" s="116"/>
      <c r="AC134" s="116"/>
    </row>
    <row r="135">
      <c r="A135" s="116"/>
      <c r="B135" s="116"/>
      <c r="C135" s="116"/>
      <c r="D135" s="116"/>
      <c r="E135" s="116"/>
      <c r="F135" s="116"/>
      <c r="G135" s="116"/>
      <c r="H135" s="183"/>
      <c r="I135" s="184"/>
      <c r="J135" s="186"/>
      <c r="K135" s="186"/>
      <c r="L135" s="29"/>
      <c r="M135" s="29"/>
      <c r="N135" s="185"/>
      <c r="O135" s="186"/>
      <c r="P135" s="29"/>
      <c r="Q135" s="185"/>
      <c r="R135" s="116"/>
      <c r="S135" s="116"/>
      <c r="T135" s="116"/>
      <c r="U135" s="116"/>
      <c r="V135" s="116"/>
      <c r="W135" s="116"/>
      <c r="X135" s="116"/>
      <c r="Y135" s="116"/>
      <c r="Z135" s="116"/>
      <c r="AA135" s="116"/>
      <c r="AB135" s="116"/>
      <c r="AC135" s="116"/>
    </row>
    <row r="136">
      <c r="A136" s="116"/>
      <c r="B136" s="116"/>
      <c r="C136" s="116"/>
      <c r="D136" s="116"/>
      <c r="E136" s="116"/>
      <c r="F136" s="116"/>
      <c r="G136" s="116"/>
      <c r="H136" s="183"/>
      <c r="I136" s="184"/>
      <c r="J136" s="186"/>
      <c r="K136" s="186"/>
      <c r="L136" s="29"/>
      <c r="M136" s="29"/>
      <c r="N136" s="185"/>
      <c r="O136" s="186"/>
      <c r="P136" s="29"/>
      <c r="Q136" s="185"/>
      <c r="R136" s="116"/>
      <c r="S136" s="116"/>
      <c r="T136" s="116"/>
      <c r="U136" s="116"/>
      <c r="V136" s="116"/>
      <c r="W136" s="116"/>
      <c r="X136" s="116"/>
      <c r="Y136" s="116"/>
      <c r="Z136" s="116"/>
      <c r="AA136" s="116"/>
      <c r="AB136" s="116"/>
      <c r="AC136" s="116"/>
    </row>
    <row r="137">
      <c r="A137" s="116"/>
      <c r="B137" s="116"/>
      <c r="C137" s="116"/>
      <c r="D137" s="116"/>
      <c r="E137" s="116"/>
      <c r="F137" s="116"/>
      <c r="G137" s="116"/>
      <c r="H137" s="183"/>
      <c r="I137" s="133"/>
      <c r="J137" s="133"/>
      <c r="K137" s="133"/>
      <c r="L137" s="152"/>
      <c r="M137" s="152"/>
      <c r="N137" s="152"/>
      <c r="O137" s="133"/>
      <c r="P137" s="152"/>
      <c r="Q137" s="152"/>
      <c r="R137" s="116"/>
      <c r="S137" s="116"/>
      <c r="T137" s="116"/>
      <c r="U137" s="116"/>
      <c r="V137" s="116"/>
      <c r="W137" s="116"/>
      <c r="X137" s="116"/>
      <c r="Y137" s="116"/>
      <c r="Z137" s="116"/>
      <c r="AA137" s="116"/>
      <c r="AB137" s="116"/>
      <c r="AC137" s="116"/>
    </row>
    <row r="138">
      <c r="A138" s="116"/>
      <c r="B138" s="116"/>
      <c r="C138" s="116"/>
      <c r="D138" s="116"/>
      <c r="E138" s="116"/>
      <c r="F138" s="116"/>
      <c r="G138" s="116"/>
      <c r="H138" s="183"/>
      <c r="I138" s="133"/>
      <c r="J138" s="133"/>
      <c r="K138" s="133"/>
      <c r="L138" s="152"/>
      <c r="M138" s="152"/>
      <c r="N138" s="152"/>
      <c r="O138" s="133"/>
      <c r="P138" s="152"/>
      <c r="Q138" s="152"/>
      <c r="R138" s="116"/>
      <c r="S138" s="116"/>
      <c r="T138" s="116"/>
      <c r="U138" s="116"/>
      <c r="V138" s="116"/>
      <c r="W138" s="116"/>
      <c r="X138" s="116"/>
      <c r="Y138" s="116"/>
      <c r="Z138" s="116"/>
      <c r="AA138" s="116"/>
      <c r="AB138" s="116"/>
      <c r="AC138" s="116"/>
    </row>
    <row r="139">
      <c r="A139" s="116"/>
      <c r="B139" s="116"/>
      <c r="C139" s="116"/>
      <c r="D139" s="116"/>
      <c r="E139" s="116"/>
      <c r="F139" s="116"/>
      <c r="G139" s="116"/>
      <c r="H139" s="183"/>
      <c r="I139" s="133"/>
      <c r="J139" s="133"/>
      <c r="K139" s="133"/>
      <c r="L139" s="152"/>
      <c r="M139" s="152"/>
      <c r="N139" s="152"/>
      <c r="O139" s="133"/>
      <c r="P139" s="152"/>
      <c r="Q139" s="152"/>
      <c r="R139" s="116"/>
      <c r="S139" s="116"/>
      <c r="T139" s="116"/>
      <c r="U139" s="116"/>
      <c r="V139" s="116"/>
      <c r="W139" s="116"/>
      <c r="X139" s="116"/>
      <c r="Y139" s="116"/>
      <c r="Z139" s="116"/>
      <c r="AA139" s="116"/>
      <c r="AB139" s="116"/>
      <c r="AC139" s="116"/>
    </row>
    <row r="140">
      <c r="A140" s="116"/>
      <c r="B140" s="116"/>
      <c r="C140" s="116"/>
      <c r="D140" s="116"/>
      <c r="E140" s="116"/>
      <c r="F140" s="116"/>
      <c r="G140" s="116"/>
      <c r="H140" s="183"/>
      <c r="I140" s="133"/>
      <c r="J140" s="133"/>
      <c r="K140" s="133"/>
      <c r="L140" s="152"/>
      <c r="M140" s="152"/>
      <c r="N140" s="152"/>
      <c r="O140" s="133"/>
      <c r="P140" s="152"/>
      <c r="Q140" s="152"/>
      <c r="R140" s="116"/>
      <c r="S140" s="116"/>
      <c r="T140" s="116"/>
      <c r="U140" s="116"/>
      <c r="V140" s="116"/>
      <c r="W140" s="116"/>
      <c r="X140" s="116"/>
      <c r="Y140" s="116"/>
      <c r="Z140" s="116"/>
      <c r="AA140" s="116"/>
      <c r="AB140" s="116"/>
      <c r="AC140" s="116"/>
    </row>
    <row r="141">
      <c r="A141" s="116"/>
      <c r="B141" s="116"/>
      <c r="C141" s="116"/>
      <c r="D141" s="116"/>
      <c r="E141" s="116"/>
      <c r="F141" s="116"/>
      <c r="G141" s="116"/>
      <c r="H141" s="183"/>
      <c r="I141" s="133"/>
      <c r="J141" s="133"/>
      <c r="K141" s="133"/>
      <c r="L141" s="152"/>
      <c r="M141" s="152"/>
      <c r="N141" s="152"/>
      <c r="O141" s="133"/>
      <c r="P141" s="152"/>
      <c r="Q141" s="152"/>
      <c r="R141" s="116"/>
      <c r="S141" s="116"/>
      <c r="T141" s="116"/>
      <c r="U141" s="116"/>
      <c r="V141" s="116"/>
      <c r="W141" s="116"/>
      <c r="X141" s="116"/>
      <c r="Y141" s="116"/>
      <c r="Z141" s="116"/>
      <c r="AA141" s="116"/>
      <c r="AB141" s="116"/>
      <c r="AC141" s="116"/>
    </row>
    <row r="142">
      <c r="A142" s="116"/>
      <c r="B142" s="116"/>
      <c r="C142" s="116"/>
      <c r="D142" s="116"/>
      <c r="E142" s="116"/>
      <c r="F142" s="116"/>
      <c r="G142" s="116"/>
      <c r="H142" s="183"/>
      <c r="I142" s="133"/>
      <c r="J142" s="133"/>
      <c r="K142" s="133"/>
      <c r="L142" s="152"/>
      <c r="M142" s="152"/>
      <c r="N142" s="152"/>
      <c r="O142" s="133"/>
      <c r="P142" s="152"/>
      <c r="Q142" s="152"/>
      <c r="R142" s="116"/>
      <c r="S142" s="116"/>
      <c r="T142" s="116"/>
      <c r="U142" s="116"/>
      <c r="V142" s="116"/>
      <c r="W142" s="116"/>
      <c r="X142" s="116"/>
      <c r="Y142" s="116"/>
      <c r="Z142" s="116"/>
      <c r="AA142" s="116"/>
      <c r="AB142" s="116"/>
      <c r="AC142" s="116"/>
    </row>
    <row r="143">
      <c r="A143" s="116"/>
      <c r="B143" s="116"/>
      <c r="C143" s="116"/>
      <c r="D143" s="116"/>
      <c r="E143" s="116"/>
      <c r="F143" s="116"/>
      <c r="G143" s="116"/>
      <c r="H143" s="183"/>
      <c r="I143" s="133"/>
      <c r="J143" s="133"/>
      <c r="K143" s="133"/>
      <c r="L143" s="152"/>
      <c r="M143" s="152"/>
      <c r="N143" s="152"/>
      <c r="O143" s="133"/>
      <c r="P143" s="152"/>
      <c r="Q143" s="152"/>
      <c r="R143" s="116"/>
      <c r="S143" s="116"/>
      <c r="T143" s="116"/>
      <c r="U143" s="116"/>
      <c r="V143" s="116"/>
      <c r="W143" s="116"/>
      <c r="X143" s="116"/>
      <c r="Y143" s="116"/>
      <c r="Z143" s="116"/>
      <c r="AA143" s="116"/>
      <c r="AB143" s="116"/>
      <c r="AC143" s="116"/>
    </row>
    <row r="144">
      <c r="A144" s="116"/>
      <c r="B144" s="116"/>
      <c r="C144" s="116"/>
      <c r="D144" s="116"/>
      <c r="E144" s="116"/>
      <c r="F144" s="116"/>
      <c r="G144" s="116"/>
      <c r="H144" s="1"/>
      <c r="I144" s="133"/>
      <c r="J144" s="133"/>
      <c r="K144" s="133"/>
      <c r="L144" s="152"/>
      <c r="M144" s="152"/>
      <c r="N144" s="152"/>
      <c r="O144" s="133"/>
      <c r="P144" s="152"/>
      <c r="Q144" s="152"/>
      <c r="R144" s="116"/>
      <c r="S144" s="116"/>
      <c r="T144" s="116"/>
      <c r="U144" s="116"/>
      <c r="V144" s="116"/>
      <c r="W144" s="116"/>
      <c r="X144" s="116"/>
      <c r="Y144" s="116"/>
      <c r="Z144" s="116"/>
      <c r="AA144" s="116"/>
      <c r="AB144" s="116"/>
      <c r="AC144" s="116"/>
    </row>
    <row r="145">
      <c r="A145" s="116"/>
      <c r="B145" s="116"/>
      <c r="C145" s="116"/>
      <c r="D145" s="116"/>
      <c r="E145" s="116"/>
      <c r="F145" s="116"/>
      <c r="G145" s="116"/>
      <c r="H145" s="1"/>
      <c r="I145" s="133"/>
      <c r="J145" s="133"/>
      <c r="K145" s="133"/>
      <c r="L145" s="152"/>
      <c r="M145" s="152"/>
      <c r="N145" s="152"/>
      <c r="O145" s="133"/>
      <c r="P145" s="152"/>
      <c r="Q145" s="152"/>
      <c r="R145" s="116"/>
      <c r="S145" s="116"/>
      <c r="T145" s="116"/>
      <c r="U145" s="116"/>
      <c r="V145" s="116"/>
      <c r="W145" s="116"/>
      <c r="X145" s="116"/>
      <c r="Y145" s="116"/>
      <c r="Z145" s="116"/>
      <c r="AA145" s="116"/>
      <c r="AB145" s="116"/>
      <c r="AC145" s="116"/>
    </row>
    <row r="146">
      <c r="A146" s="116"/>
      <c r="B146" s="116"/>
      <c r="C146" s="116"/>
      <c r="D146" s="116"/>
      <c r="E146" s="116"/>
      <c r="F146" s="116"/>
      <c r="G146" s="116"/>
      <c r="H146" s="178" t="s">
        <v>85</v>
      </c>
      <c r="I146" s="115"/>
      <c r="J146" s="115"/>
      <c r="K146" s="115"/>
      <c r="L146" s="115"/>
      <c r="M146" s="115"/>
      <c r="N146" s="115"/>
      <c r="O146" s="115"/>
      <c r="P146" s="115"/>
      <c r="Q146" s="179">
        <f>SUM(Q88:Q145)</f>
        <v>97200</v>
      </c>
      <c r="R146" s="116"/>
      <c r="S146" s="116"/>
      <c r="T146" s="116"/>
      <c r="U146" s="116"/>
      <c r="V146" s="116"/>
      <c r="W146" s="116"/>
      <c r="X146" s="116"/>
      <c r="Y146" s="116"/>
      <c r="Z146" s="116"/>
      <c r="AA146" s="116"/>
      <c r="AB146" s="116"/>
      <c r="AC146" s="116"/>
    </row>
    <row r="147">
      <c r="A147" s="116"/>
      <c r="B147" s="116"/>
      <c r="C147" s="116"/>
      <c r="D147" s="116"/>
      <c r="E147" s="116"/>
      <c r="F147" s="116"/>
      <c r="G147" s="116"/>
      <c r="H147" s="116"/>
      <c r="I147" s="116"/>
      <c r="J147" s="116"/>
      <c r="K147" s="116"/>
      <c r="L147" s="116"/>
      <c r="M147" s="116"/>
      <c r="N147" s="116"/>
      <c r="O147" s="116"/>
      <c r="P147" s="116"/>
      <c r="Q147" s="116"/>
      <c r="R147" s="116"/>
      <c r="S147" s="116"/>
      <c r="T147" s="116"/>
      <c r="U147" s="116"/>
      <c r="V147" s="116"/>
      <c r="W147" s="116"/>
      <c r="X147" s="116"/>
      <c r="Y147" s="116"/>
      <c r="Z147" s="116"/>
      <c r="AA147" s="116"/>
      <c r="AB147" s="116"/>
      <c r="AC147" s="116"/>
    </row>
    <row r="148">
      <c r="A148" s="116"/>
      <c r="B148" s="116"/>
      <c r="C148" s="116"/>
      <c r="D148" s="116"/>
      <c r="E148" s="116"/>
      <c r="F148" s="116"/>
      <c r="G148" s="116"/>
      <c r="H148" s="116"/>
      <c r="I148" s="116"/>
      <c r="J148" s="116"/>
      <c r="K148" s="116"/>
      <c r="L148" s="116"/>
      <c r="M148" s="116"/>
      <c r="N148" s="116"/>
      <c r="O148" s="116"/>
      <c r="P148" s="116"/>
      <c r="Q148" s="116"/>
      <c r="R148" s="116"/>
      <c r="S148" s="116"/>
      <c r="T148" s="116"/>
      <c r="U148" s="116"/>
      <c r="V148" s="116"/>
      <c r="W148" s="116"/>
      <c r="X148" s="116"/>
      <c r="Y148" s="116"/>
      <c r="Z148" s="116"/>
      <c r="AA148" s="116"/>
      <c r="AB148" s="116"/>
      <c r="AC148" s="116"/>
    </row>
  </sheetData>
  <hyperlinks>
    <hyperlink r:id="rId1" ref="B101"/>
    <hyperlink r:id="rId2" ref="B102"/>
    <hyperlink r:id="rId3" ref="B103"/>
    <hyperlink r:id="rId4" ref="B104"/>
  </hyperlinks>
  <drawing r:id="rId5"/>
</worksheet>
</file>